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3.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4.xml" ContentType="application/vnd.openxmlformats-officedocument.drawing+xml"/>
  <Override PartName="/xl/tables/table1.xml" ContentType="application/vnd.openxmlformats-officedocument.spreadsheetml.tab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JAM\DKTI\Movimiento EE\Diagnóstico Energético Final 2025 Abril\"/>
    </mc:Choice>
  </mc:AlternateContent>
  <xr:revisionPtr revIDLastSave="0" documentId="13_ncr:1_{6ED23144-5BB1-4BF3-A9ED-1F26B2AB07F8}" xr6:coauthVersionLast="47" xr6:coauthVersionMax="47" xr10:uidLastSave="{00000000-0000-0000-0000-000000000000}"/>
  <bookViews>
    <workbookView xWindow="28680" yWindow="-120" windowWidth="20640" windowHeight="11040" tabRatio="719" xr2:uid="{00000000-000D-0000-FFFF-FFFF00000000}"/>
  </bookViews>
  <sheets>
    <sheet name="Informe" sheetId="22" r:id="rId1"/>
    <sheet name="1.GeneralesEmpresa" sheetId="23" r:id="rId2"/>
    <sheet name="2.HistóricoConsumoEnergético" sheetId="27" r:id="rId3"/>
    <sheet name="3.Administración e iluminación" sheetId="28" r:id="rId4"/>
    <sheet name="4.Ident.Princip.Consumos" sheetId="26" r:id="rId5"/>
    <sheet name="5. Ecuación" sheetId="29" r:id="rId6"/>
    <sheet name="6.Compensación" sheetId="31" r:id="rId7"/>
    <sheet name="Hoja2" sheetId="24" state="hidden" r:id="rId8"/>
    <sheet name="7.- UpDate" sheetId="42" r:id="rId9"/>
    <sheet name="Hoja1" sheetId="20" state="hidden" r:id="rId10"/>
    <sheet name="Opocion Tarifaria " sheetId="21" state="hidden" r:id="rId11"/>
    <sheet name="Tarifa MTBT" sheetId="19" state="hidden" r:id="rId12"/>
    <sheet name="Potencia-Condensador" sheetId="30" state="hidden" r:id="rId13"/>
    <sheet name="5_kWp" sheetId="37" state="hidden" r:id="rId14"/>
    <sheet name="15_kWp" sheetId="38" state="hidden" r:id="rId15"/>
    <sheet name="30_kWp" sheetId="39" state="hidden" r:id="rId16"/>
    <sheet name="Datos" sheetId="40" state="hidden" r:id="rId17"/>
    <sheet name="Precio-kWh_SFV" sheetId="41" state="hidden" r:id="rId18"/>
  </sheets>
  <externalReferences>
    <externalReference r:id="rId19"/>
    <externalReference r:id="rId20"/>
    <externalReference r:id="rId21"/>
  </externalReferences>
  <definedNames>
    <definedName name="propuesta">[1]calefacción!$B$17:$M$17</definedName>
    <definedName name="Summe_Dampferzeugung">[2]calefacción!$B$17:$M$17</definedName>
    <definedName name="Summe_Gebäudeheizung">[2]calefacción!$B$10:$M$10</definedName>
    <definedName name="Summe_Küche__Kantine">[2]calefacción!$B$31:$M$31</definedName>
    <definedName name="Summe_Produktionsmaschinen">[2]calefacción!$B$24:$M$24</definedName>
    <definedName name="Summe_weitere">[2]calefacción!$B$39:$M$39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L28" i="20" l="1"/>
  <c r="DL27" i="20"/>
  <c r="DL7" i="20"/>
  <c r="DL8" i="20"/>
  <c r="DL9" i="20"/>
  <c r="DL10" i="20"/>
  <c r="DL11" i="20"/>
  <c r="DL12" i="20"/>
  <c r="DL13" i="20"/>
  <c r="DL14" i="20"/>
  <c r="DL15" i="20"/>
  <c r="DL16" i="20"/>
  <c r="DL17" i="20"/>
  <c r="DL18" i="20"/>
  <c r="DL19" i="20"/>
  <c r="DL20" i="20"/>
  <c r="DL21" i="20"/>
  <c r="DL22" i="20"/>
  <c r="DL23" i="20"/>
  <c r="DL24" i="20"/>
  <c r="DL25" i="20"/>
  <c r="DL26" i="20"/>
  <c r="N2" i="26"/>
  <c r="FH6" i="20"/>
  <c r="E19" i="40"/>
  <c r="E18" i="40"/>
  <c r="E17" i="40"/>
  <c r="G12" i="20"/>
  <c r="G16" i="20"/>
  <c r="G20" i="20"/>
  <c r="G21" i="20"/>
  <c r="G24" i="20"/>
  <c r="G25" i="20"/>
  <c r="G27" i="20"/>
  <c r="G29" i="20"/>
  <c r="G30" i="20"/>
  <c r="G33" i="20"/>
  <c r="G34" i="20"/>
  <c r="G37" i="20"/>
  <c r="C9" i="20"/>
  <c r="C14" i="20"/>
  <c r="C17" i="20"/>
  <c r="C21" i="20"/>
  <c r="C25" i="20"/>
  <c r="C28" i="20"/>
  <c r="B9" i="20"/>
  <c r="B14" i="20"/>
  <c r="B17" i="20"/>
  <c r="B21" i="20"/>
  <c r="B25" i="20"/>
  <c r="B28" i="20"/>
  <c r="FH7" i="20" l="1"/>
  <c r="FH8" i="20" s="1"/>
  <c r="DL56" i="20"/>
  <c r="DL64" i="20"/>
  <c r="DL65" i="20"/>
  <c r="DL66" i="20"/>
  <c r="DL67" i="20"/>
  <c r="DL68" i="20"/>
  <c r="DL69" i="20"/>
  <c r="DL70" i="20"/>
  <c r="DL71" i="20"/>
  <c r="DL72" i="20"/>
  <c r="DL73" i="20"/>
  <c r="DL74" i="20"/>
  <c r="DL75" i="20"/>
  <c r="DL76" i="20"/>
  <c r="DL77" i="20"/>
  <c r="DL57" i="20"/>
  <c r="DL58" i="20"/>
  <c r="DL59" i="20"/>
  <c r="DL60" i="20"/>
  <c r="DL61" i="20"/>
  <c r="DL62" i="20"/>
  <c r="DL63" i="20"/>
  <c r="FH9" i="20" l="1"/>
  <c r="AP3" i="24"/>
  <c r="AP4" i="24"/>
  <c r="AP5" i="24"/>
  <c r="AP6" i="24"/>
  <c r="AP7" i="24"/>
  <c r="AP8" i="24"/>
  <c r="AP9" i="24"/>
  <c r="AP10" i="24"/>
  <c r="AP11" i="24"/>
  <c r="AP12" i="24"/>
  <c r="AP13" i="24"/>
  <c r="AP14" i="24"/>
  <c r="AP15" i="24"/>
  <c r="AP16" i="24"/>
  <c r="AP17" i="24"/>
  <c r="AP18" i="24"/>
  <c r="AP19" i="24"/>
  <c r="AP20" i="24"/>
  <c r="AP21" i="24"/>
  <c r="AP2" i="24"/>
  <c r="K6" i="27"/>
  <c r="K7" i="27"/>
  <c r="K8" i="27"/>
  <c r="K9" i="27"/>
  <c r="K10" i="27"/>
  <c r="K11" i="27"/>
  <c r="K12" i="27"/>
  <c r="K13" i="27"/>
  <c r="K14" i="27"/>
  <c r="K15" i="27"/>
  <c r="K16" i="27"/>
  <c r="K5" i="27"/>
  <c r="FH10" i="20" l="1"/>
  <c r="AL26" i="22"/>
  <c r="AM26" i="22"/>
  <c r="AO26" i="22"/>
  <c r="AK26" i="22"/>
  <c r="N35" i="20"/>
  <c r="J9" i="40"/>
  <c r="K9" i="40" s="1"/>
  <c r="B26" i="39"/>
  <c r="B18" i="39"/>
  <c r="B26" i="38"/>
  <c r="B18" i="38"/>
  <c r="B29" i="38" s="1"/>
  <c r="B26" i="37"/>
  <c r="B18" i="37"/>
  <c r="FH11" i="20" l="1"/>
  <c r="B21" i="39"/>
  <c r="B22" i="39" s="1"/>
  <c r="B29" i="39"/>
  <c r="B21" i="37"/>
  <c r="B22" i="37" s="1"/>
  <c r="B29" i="37"/>
  <c r="B21" i="38"/>
  <c r="B22" i="38" s="1"/>
  <c r="B7" i="39"/>
  <c r="B8" i="39" s="1"/>
  <c r="D18" i="40"/>
  <c r="D19" i="40"/>
  <c r="B5" i="39"/>
  <c r="B5" i="38"/>
  <c r="B5" i="37"/>
  <c r="D17" i="40"/>
  <c r="FH12" i="20" l="1"/>
  <c r="B10" i="39"/>
  <c r="B7" i="38"/>
  <c r="B8" i="38" s="1"/>
  <c r="B7" i="37"/>
  <c r="B8" i="37" s="1"/>
  <c r="FH13" i="20" l="1"/>
  <c r="C21" i="39"/>
  <c r="C29" i="39"/>
  <c r="B10" i="38"/>
  <c r="B10" i="37"/>
  <c r="T17" i="30"/>
  <c r="AL23" i="22"/>
  <c r="K35" i="20"/>
  <c r="A15" i="30"/>
  <c r="A14" i="30"/>
  <c r="A13" i="30"/>
  <c r="A12" i="30"/>
  <c r="A11" i="30"/>
  <c r="A10" i="30"/>
  <c r="A9" i="30"/>
  <c r="A8" i="30"/>
  <c r="A7" i="30"/>
  <c r="A6" i="30"/>
  <c r="A5" i="30"/>
  <c r="A4" i="30"/>
  <c r="FH14" i="20" l="1"/>
  <c r="C22" i="39"/>
  <c r="C21" i="37"/>
  <c r="C22" i="37" s="1"/>
  <c r="C29" i="37"/>
  <c r="C21" i="38"/>
  <c r="C22" i="38" s="1"/>
  <c r="C29" i="38"/>
  <c r="EX7" i="20"/>
  <c r="EY7" i="20"/>
  <c r="EZ7" i="20"/>
  <c r="EX8" i="20"/>
  <c r="EY8" i="20"/>
  <c r="EZ8" i="20"/>
  <c r="EX9" i="20"/>
  <c r="EY9" i="20"/>
  <c r="EZ9" i="20"/>
  <c r="EX10" i="20"/>
  <c r="EY10" i="20"/>
  <c r="EZ10" i="20"/>
  <c r="EX11" i="20"/>
  <c r="EY11" i="20"/>
  <c r="EZ11" i="20"/>
  <c r="EX12" i="20"/>
  <c r="EY12" i="20"/>
  <c r="EZ12" i="20"/>
  <c r="EX13" i="20"/>
  <c r="EY13" i="20"/>
  <c r="EZ13" i="20"/>
  <c r="EX14" i="20"/>
  <c r="EY14" i="20"/>
  <c r="EZ14" i="20"/>
  <c r="EX15" i="20"/>
  <c r="EY15" i="20"/>
  <c r="EZ15" i="20"/>
  <c r="EX16" i="20"/>
  <c r="EY16" i="20"/>
  <c r="EZ16" i="20"/>
  <c r="EX17" i="20"/>
  <c r="EY17" i="20"/>
  <c r="EZ17" i="20"/>
  <c r="EX18" i="20"/>
  <c r="EY18" i="20"/>
  <c r="EZ18" i="20"/>
  <c r="EX19" i="20"/>
  <c r="EY19" i="20"/>
  <c r="EZ19" i="20"/>
  <c r="EX20" i="20"/>
  <c r="EY20" i="20"/>
  <c r="EZ20" i="20"/>
  <c r="EX21" i="20"/>
  <c r="EY21" i="20"/>
  <c r="EZ21" i="20"/>
  <c r="EX22" i="20"/>
  <c r="EY22" i="20"/>
  <c r="EZ22" i="20"/>
  <c r="EX23" i="20"/>
  <c r="EY23" i="20"/>
  <c r="EZ23" i="20"/>
  <c r="EX24" i="20"/>
  <c r="EY24" i="20"/>
  <c r="EZ24" i="20"/>
  <c r="EX25" i="20"/>
  <c r="EY25" i="20"/>
  <c r="EZ25" i="20"/>
  <c r="EX26" i="20"/>
  <c r="EY26" i="20"/>
  <c r="EZ26" i="20"/>
  <c r="EX27" i="20"/>
  <c r="EY27" i="20"/>
  <c r="EZ27" i="20"/>
  <c r="EX28" i="20"/>
  <c r="EY28" i="20"/>
  <c r="EZ28" i="20"/>
  <c r="EY6" i="20"/>
  <c r="EZ6" i="20"/>
  <c r="EX6" i="20"/>
  <c r="FH15" i="20" l="1"/>
  <c r="E13" i="23"/>
  <c r="BD92" i="20"/>
  <c r="BD91" i="20"/>
  <c r="BD71" i="20"/>
  <c r="BD70" i="20"/>
  <c r="FH16" i="20" l="1"/>
  <c r="A46" i="20"/>
  <c r="D44" i="20"/>
  <c r="FH17" i="20" l="1"/>
  <c r="B143" i="20"/>
  <c r="B62" i="20"/>
  <c r="D19" i="42" s="1"/>
  <c r="B11" i="20" s="1"/>
  <c r="B59" i="20"/>
  <c r="D16" i="42" s="1"/>
  <c r="B8" i="20" s="1"/>
  <c r="B76" i="20"/>
  <c r="B84" i="20"/>
  <c r="E10" i="42" s="1"/>
  <c r="C2" i="20" s="1"/>
  <c r="B92" i="20"/>
  <c r="E18" i="42" s="1"/>
  <c r="C10" i="20" s="1"/>
  <c r="B100" i="20"/>
  <c r="E26" i="42" s="1"/>
  <c r="C18" i="20" s="1"/>
  <c r="B108" i="20"/>
  <c r="E34" i="42" s="1"/>
  <c r="C26" i="20" s="1"/>
  <c r="B116" i="20"/>
  <c r="B124" i="20"/>
  <c r="B132" i="20"/>
  <c r="H27" i="42" s="1"/>
  <c r="G28" i="20" s="1"/>
  <c r="B140" i="20"/>
  <c r="H35" i="42" s="1"/>
  <c r="G36" i="20" s="1"/>
  <c r="B71" i="20"/>
  <c r="D28" i="42" s="1"/>
  <c r="B20" i="20" s="1"/>
  <c r="B61" i="20"/>
  <c r="D18" i="42" s="1"/>
  <c r="B10" i="20" s="1"/>
  <c r="B60" i="20"/>
  <c r="B77" i="20"/>
  <c r="D34" i="42" s="1"/>
  <c r="B26" i="20" s="1"/>
  <c r="B85" i="20"/>
  <c r="E11" i="42" s="1"/>
  <c r="C3" i="20" s="1"/>
  <c r="B93" i="20"/>
  <c r="E19" i="42" s="1"/>
  <c r="C11" i="20" s="1"/>
  <c r="B101" i="20"/>
  <c r="E27" i="42" s="1"/>
  <c r="C19" i="20" s="1"/>
  <c r="B109" i="20"/>
  <c r="E35" i="42" s="1"/>
  <c r="C27" i="20" s="1"/>
  <c r="B117" i="20"/>
  <c r="H12" i="42" s="1"/>
  <c r="G13" i="20" s="1"/>
  <c r="B125" i="20"/>
  <c r="B133" i="20"/>
  <c r="B70" i="20"/>
  <c r="D27" i="42" s="1"/>
  <c r="B19" i="20" s="1"/>
  <c r="B64" i="20"/>
  <c r="D21" i="42" s="1"/>
  <c r="B13" i="20" s="1"/>
  <c r="B86" i="20"/>
  <c r="E12" i="42" s="1"/>
  <c r="C4" i="20" s="1"/>
  <c r="B102" i="20"/>
  <c r="E28" i="42" s="1"/>
  <c r="C20" i="20" s="1"/>
  <c r="B118" i="20"/>
  <c r="H13" i="42" s="1"/>
  <c r="G14" i="20" s="1"/>
  <c r="B134" i="20"/>
  <c r="B68" i="20"/>
  <c r="B79" i="20"/>
  <c r="B95" i="20"/>
  <c r="E21" i="42" s="1"/>
  <c r="C13" i="20" s="1"/>
  <c r="B111" i="20"/>
  <c r="E37" i="42" s="1"/>
  <c r="C29" i="20" s="1"/>
  <c r="B127" i="20"/>
  <c r="H22" i="42" s="1"/>
  <c r="G23" i="20" s="1"/>
  <c r="B121" i="20"/>
  <c r="H16" i="42" s="1"/>
  <c r="G17" i="20" s="1"/>
  <c r="B69" i="20"/>
  <c r="D26" i="42" s="1"/>
  <c r="B18" i="20" s="1"/>
  <c r="B67" i="20"/>
  <c r="D24" i="42" s="1"/>
  <c r="B16" i="20" s="1"/>
  <c r="B54" i="20"/>
  <c r="D11" i="42" s="1"/>
  <c r="B3" i="20" s="1"/>
  <c r="B72" i="20"/>
  <c r="B80" i="20"/>
  <c r="D37" i="42" s="1"/>
  <c r="B29" i="20" s="1"/>
  <c r="B88" i="20"/>
  <c r="E14" i="42" s="1"/>
  <c r="C6" i="20" s="1"/>
  <c r="B96" i="20"/>
  <c r="B104" i="20"/>
  <c r="E30" i="42" s="1"/>
  <c r="C22" i="20" s="1"/>
  <c r="B112" i="20"/>
  <c r="E38" i="42" s="1"/>
  <c r="C30" i="20" s="1"/>
  <c r="B120" i="20"/>
  <c r="B128" i="20"/>
  <c r="B136" i="20"/>
  <c r="H31" i="42" s="1"/>
  <c r="G32" i="20" s="1"/>
  <c r="B53" i="20"/>
  <c r="D10" i="42" s="1"/>
  <c r="B2" i="20" s="1"/>
  <c r="B73" i="20"/>
  <c r="D30" i="42" s="1"/>
  <c r="B22" i="20" s="1"/>
  <c r="B81" i="20"/>
  <c r="D38" i="42" s="1"/>
  <c r="B30" i="20" s="1"/>
  <c r="B89" i="20"/>
  <c r="E15" i="42" s="1"/>
  <c r="C7" i="20" s="1"/>
  <c r="B97" i="20"/>
  <c r="E23" i="42" s="1"/>
  <c r="C15" i="20" s="1"/>
  <c r="B105" i="20"/>
  <c r="E31" i="42" s="1"/>
  <c r="C23" i="20" s="1"/>
  <c r="B113" i="20"/>
  <c r="E39" i="42" s="1"/>
  <c r="C31" i="20" s="1"/>
  <c r="B129" i="20"/>
  <c r="B66" i="20"/>
  <c r="D23" i="42" s="1"/>
  <c r="B15" i="20" s="1"/>
  <c r="B65" i="20"/>
  <c r="B57" i="20"/>
  <c r="D14" i="42" s="1"/>
  <c r="B6" i="20" s="1"/>
  <c r="B74" i="20"/>
  <c r="D31" i="42" s="1"/>
  <c r="B23" i="20" s="1"/>
  <c r="B82" i="20"/>
  <c r="D39" i="42" s="1"/>
  <c r="B31" i="20" s="1"/>
  <c r="B90" i="20"/>
  <c r="E16" i="42" s="1"/>
  <c r="C8" i="20" s="1"/>
  <c r="B98" i="20"/>
  <c r="E24" i="42" s="1"/>
  <c r="C16" i="20" s="1"/>
  <c r="B106" i="20"/>
  <c r="E32" i="42" s="1"/>
  <c r="C24" i="20" s="1"/>
  <c r="B114" i="20"/>
  <c r="B122" i="20"/>
  <c r="H17" i="42" s="1"/>
  <c r="G18" i="20" s="1"/>
  <c r="B130" i="20"/>
  <c r="H25" i="42" s="1"/>
  <c r="G26" i="20" s="1"/>
  <c r="B138" i="20"/>
  <c r="B63" i="20"/>
  <c r="D20" i="42" s="1"/>
  <c r="B12" i="20" s="1"/>
  <c r="B58" i="20"/>
  <c r="D15" i="42" s="1"/>
  <c r="B7" i="20" s="1"/>
  <c r="B75" i="20"/>
  <c r="D32" i="42" s="1"/>
  <c r="B24" i="20" s="1"/>
  <c r="B83" i="20"/>
  <c r="B91" i="20"/>
  <c r="B99" i="20"/>
  <c r="B107" i="20"/>
  <c r="B115" i="20"/>
  <c r="H10" i="42" s="1"/>
  <c r="G11" i="20" s="1"/>
  <c r="B123" i="20"/>
  <c r="H18" i="42" s="1"/>
  <c r="G19" i="20" s="1"/>
  <c r="B131" i="20"/>
  <c r="B139" i="20"/>
  <c r="H34" i="42" s="1"/>
  <c r="G35" i="20" s="1"/>
  <c r="B141" i="20"/>
  <c r="B56" i="20"/>
  <c r="D13" i="42" s="1"/>
  <c r="B5" i="20" s="1"/>
  <c r="B78" i="20"/>
  <c r="D35" i="42" s="1"/>
  <c r="B27" i="20" s="1"/>
  <c r="B94" i="20"/>
  <c r="E20" i="42" s="1"/>
  <c r="C12" i="20" s="1"/>
  <c r="B110" i="20"/>
  <c r="B126" i="20"/>
  <c r="H21" i="42" s="1"/>
  <c r="G22" i="20" s="1"/>
  <c r="B142" i="20"/>
  <c r="H37" i="42" s="1"/>
  <c r="G38" i="20" s="1"/>
  <c r="B55" i="20"/>
  <c r="D12" i="42" s="1"/>
  <c r="B4" i="20" s="1"/>
  <c r="B87" i="20"/>
  <c r="E13" i="42" s="1"/>
  <c r="C5" i="20" s="1"/>
  <c r="B103" i="20"/>
  <c r="B119" i="20"/>
  <c r="H14" i="42" s="1"/>
  <c r="G15" i="20" s="1"/>
  <c r="B135" i="20"/>
  <c r="H30" i="42" s="1"/>
  <c r="G31" i="20" s="1"/>
  <c r="B137" i="20"/>
  <c r="FH18" i="20" l="1"/>
  <c r="O32" i="20"/>
  <c r="H38" i="42"/>
  <c r="G39" i="20" s="1"/>
  <c r="P27" i="20"/>
  <c r="P24" i="20"/>
  <c r="O29" i="20"/>
  <c r="O27" i="20"/>
  <c r="O24" i="20"/>
  <c r="O26" i="20"/>
  <c r="O25" i="20"/>
  <c r="O28" i="20"/>
  <c r="O30" i="20"/>
  <c r="O31" i="20"/>
  <c r="L24" i="20"/>
  <c r="L28" i="20"/>
  <c r="L29" i="20"/>
  <c r="L27" i="20"/>
  <c r="L25" i="20"/>
  <c r="L26" i="20"/>
  <c r="AF32" i="22"/>
  <c r="AC32" i="22" s="1"/>
  <c r="AF33" i="22"/>
  <c r="AC33" i="22" s="1"/>
  <c r="AF34" i="22"/>
  <c r="AC34" i="22" s="1"/>
  <c r="AF35" i="22"/>
  <c r="AC35" i="22" s="1"/>
  <c r="AF36" i="22"/>
  <c r="AC36" i="22" s="1"/>
  <c r="AF37" i="22"/>
  <c r="AC37" i="22" s="1"/>
  <c r="AF38" i="22"/>
  <c r="AC38" i="22" s="1"/>
  <c r="AF39" i="22"/>
  <c r="AC39" i="22" s="1"/>
  <c r="AF40" i="22"/>
  <c r="AC40" i="22" s="1"/>
  <c r="AF41" i="22"/>
  <c r="AC41" i="22" s="1"/>
  <c r="AF42" i="22"/>
  <c r="AC42" i="22" s="1"/>
  <c r="AF43" i="22"/>
  <c r="AC43" i="22" s="1"/>
  <c r="AF44" i="22"/>
  <c r="AC44" i="22" s="1"/>
  <c r="AF45" i="22"/>
  <c r="AC45" i="22" s="1"/>
  <c r="AF46" i="22"/>
  <c r="AC46" i="22" s="1"/>
  <c r="AF47" i="22"/>
  <c r="AC47" i="22" s="1"/>
  <c r="AF48" i="22"/>
  <c r="AC48" i="22" s="1"/>
  <c r="AF49" i="22"/>
  <c r="AC49" i="22" s="1"/>
  <c r="AF50" i="22"/>
  <c r="AC50" i="22" s="1"/>
  <c r="AF31" i="22"/>
  <c r="AC31" i="22" s="1"/>
  <c r="AO7" i="24"/>
  <c r="AE36" i="22" s="1"/>
  <c r="AI3" i="24"/>
  <c r="AI4" i="24"/>
  <c r="AI5" i="24"/>
  <c r="AI6" i="24"/>
  <c r="AI7" i="24"/>
  <c r="AI8" i="24"/>
  <c r="AI9" i="24"/>
  <c r="AI10" i="24"/>
  <c r="AI11" i="24"/>
  <c r="AI12" i="24"/>
  <c r="AI13" i="24"/>
  <c r="AI14" i="24"/>
  <c r="AI15" i="24"/>
  <c r="AI16" i="24"/>
  <c r="AI17" i="24"/>
  <c r="AI18" i="24"/>
  <c r="AI19" i="24"/>
  <c r="AI20" i="24"/>
  <c r="AI21" i="24"/>
  <c r="AI2" i="24"/>
  <c r="AD3" i="24"/>
  <c r="AD4" i="24"/>
  <c r="AD5" i="24"/>
  <c r="AD6" i="24"/>
  <c r="AD7" i="24"/>
  <c r="AD8" i="24"/>
  <c r="AD9" i="24"/>
  <c r="AD10" i="24"/>
  <c r="AD11" i="24"/>
  <c r="AD12" i="24"/>
  <c r="AD13" i="24"/>
  <c r="AD14" i="24"/>
  <c r="AD15" i="24"/>
  <c r="AD16" i="24"/>
  <c r="AD17" i="24"/>
  <c r="AD18" i="24"/>
  <c r="AD19" i="24"/>
  <c r="AD20" i="24"/>
  <c r="AD21" i="24"/>
  <c r="AD2" i="24"/>
  <c r="AC3" i="24"/>
  <c r="AC4" i="24"/>
  <c r="AH4" i="24" s="1"/>
  <c r="AC5" i="24"/>
  <c r="AC6" i="24"/>
  <c r="AC7" i="24"/>
  <c r="AC8" i="24"/>
  <c r="AC9" i="24"/>
  <c r="AC10" i="24"/>
  <c r="AH10" i="24" s="1"/>
  <c r="AC11" i="24"/>
  <c r="AC12" i="24"/>
  <c r="AC13" i="24"/>
  <c r="AC14" i="24"/>
  <c r="AC15" i="24"/>
  <c r="AC16" i="24"/>
  <c r="AC17" i="24"/>
  <c r="AC18" i="24"/>
  <c r="AH18" i="24" s="1"/>
  <c r="AC19" i="24"/>
  <c r="AE19" i="24" s="1"/>
  <c r="AF19" i="24" s="1"/>
  <c r="AC20" i="24"/>
  <c r="AC21" i="24"/>
  <c r="AC2" i="24"/>
  <c r="Z3" i="24"/>
  <c r="Z4" i="24"/>
  <c r="Z5" i="24"/>
  <c r="Z6" i="24"/>
  <c r="Z7" i="24"/>
  <c r="Y7" i="24" s="1"/>
  <c r="AA7" i="24" s="1"/>
  <c r="Z8" i="24"/>
  <c r="Z9" i="24"/>
  <c r="Z10" i="24"/>
  <c r="Z11" i="24"/>
  <c r="Z12" i="24"/>
  <c r="Z13" i="24"/>
  <c r="Z14" i="24"/>
  <c r="Z15" i="24"/>
  <c r="Y15" i="24" s="1"/>
  <c r="AA15" i="24" s="1"/>
  <c r="Z16" i="24"/>
  <c r="Z17" i="24"/>
  <c r="Z18" i="24"/>
  <c r="Z19" i="24"/>
  <c r="Z20" i="24"/>
  <c r="Z21" i="24"/>
  <c r="Z2" i="24"/>
  <c r="W3" i="24"/>
  <c r="W4" i="24"/>
  <c r="W5" i="24"/>
  <c r="W6" i="24"/>
  <c r="W7" i="24"/>
  <c r="W8" i="24"/>
  <c r="W9" i="24"/>
  <c r="W10" i="24"/>
  <c r="W11" i="24"/>
  <c r="W12" i="24"/>
  <c r="W13" i="24"/>
  <c r="W14" i="24"/>
  <c r="W15" i="24"/>
  <c r="W16" i="24"/>
  <c r="W17" i="24"/>
  <c r="W18" i="24"/>
  <c r="W19" i="24"/>
  <c r="W20" i="24"/>
  <c r="W21" i="24"/>
  <c r="W2" i="24"/>
  <c r="S5" i="28"/>
  <c r="S6" i="28"/>
  <c r="S7" i="28"/>
  <c r="S8" i="28"/>
  <c r="S9" i="28"/>
  <c r="S10" i="28"/>
  <c r="S11" i="28"/>
  <c r="S12" i="28"/>
  <c r="S13" i="28"/>
  <c r="S14" i="28"/>
  <c r="S15" i="28"/>
  <c r="S16" i="28"/>
  <c r="S17" i="28"/>
  <c r="S18" i="28"/>
  <c r="S19" i="28"/>
  <c r="S20" i="28"/>
  <c r="S21" i="28"/>
  <c r="S22" i="28"/>
  <c r="S23" i="28"/>
  <c r="S24" i="28"/>
  <c r="Q5" i="28"/>
  <c r="AK2" i="24" s="1"/>
  <c r="AO2" i="24" s="1"/>
  <c r="AE31" i="22" s="1"/>
  <c r="Q6" i="28"/>
  <c r="AK3" i="24" s="1"/>
  <c r="AO3" i="24" s="1"/>
  <c r="AE32" i="22" s="1"/>
  <c r="Q7" i="28"/>
  <c r="AK4" i="24" s="1"/>
  <c r="AO4" i="24" s="1"/>
  <c r="AE33" i="22" s="1"/>
  <c r="Q8" i="28"/>
  <c r="AK5" i="24" s="1"/>
  <c r="AO5" i="24" s="1"/>
  <c r="AE34" i="22" s="1"/>
  <c r="Q9" i="28"/>
  <c r="AK6" i="24" s="1"/>
  <c r="AO6" i="24" s="1"/>
  <c r="AE35" i="22" s="1"/>
  <c r="Q10" i="28"/>
  <c r="AK7" i="24" s="1"/>
  <c r="Q11" i="28"/>
  <c r="AK8" i="24" s="1"/>
  <c r="AO8" i="24" s="1"/>
  <c r="AE37" i="22" s="1"/>
  <c r="Q12" i="28"/>
  <c r="AK9" i="24" s="1"/>
  <c r="AO9" i="24" s="1"/>
  <c r="AE38" i="22" s="1"/>
  <c r="Q13" i="28"/>
  <c r="AK10" i="24" s="1"/>
  <c r="AO10" i="24" s="1"/>
  <c r="AE39" i="22" s="1"/>
  <c r="Q14" i="28"/>
  <c r="AK11" i="24" s="1"/>
  <c r="AO11" i="24" s="1"/>
  <c r="AE40" i="22" s="1"/>
  <c r="Q15" i="28"/>
  <c r="AK12" i="24" s="1"/>
  <c r="AO12" i="24" s="1"/>
  <c r="AE41" i="22" s="1"/>
  <c r="Q16" i="28"/>
  <c r="AK13" i="24" s="1"/>
  <c r="AO13" i="24" s="1"/>
  <c r="AE42" i="22" s="1"/>
  <c r="Q17" i="28"/>
  <c r="AK14" i="24" s="1"/>
  <c r="AO14" i="24" s="1"/>
  <c r="AE43" i="22" s="1"/>
  <c r="Q18" i="28"/>
  <c r="AK15" i="24" s="1"/>
  <c r="AO15" i="24" s="1"/>
  <c r="AE44" i="22" s="1"/>
  <c r="Q19" i="28"/>
  <c r="AK16" i="24" s="1"/>
  <c r="AO16" i="24" s="1"/>
  <c r="AE45" i="22" s="1"/>
  <c r="Q20" i="28"/>
  <c r="AK17" i="24" s="1"/>
  <c r="AO17" i="24" s="1"/>
  <c r="AE46" i="22" s="1"/>
  <c r="Q21" i="28"/>
  <c r="AK18" i="24" s="1"/>
  <c r="AO18" i="24" s="1"/>
  <c r="AE47" i="22" s="1"/>
  <c r="Q22" i="28"/>
  <c r="AK19" i="24" s="1"/>
  <c r="AO19" i="24" s="1"/>
  <c r="AE48" i="22" s="1"/>
  <c r="Q23" i="28"/>
  <c r="AK20" i="24" s="1"/>
  <c r="AO20" i="24" s="1"/>
  <c r="AE49" i="22" s="1"/>
  <c r="Q24" i="28"/>
  <c r="AK21" i="24" s="1"/>
  <c r="AO21" i="24" s="1"/>
  <c r="AE50" i="22" s="1"/>
  <c r="FH19" i="20" l="1"/>
  <c r="AE11" i="24"/>
  <c r="AF11" i="24" s="1"/>
  <c r="O35" i="20"/>
  <c r="L34" i="20"/>
  <c r="AH3" i="24"/>
  <c r="AJ3" i="24" s="1"/>
  <c r="AM3" i="24" s="1"/>
  <c r="AS3" i="24" s="1"/>
  <c r="AE16" i="24"/>
  <c r="AF16" i="24" s="1"/>
  <c r="AE8" i="24"/>
  <c r="AF8" i="24" s="1"/>
  <c r="AE9" i="24"/>
  <c r="AF9" i="24" s="1"/>
  <c r="AE15" i="24"/>
  <c r="AF15" i="24" s="1"/>
  <c r="AE7" i="24"/>
  <c r="AF7" i="24" s="1"/>
  <c r="AE17" i="24"/>
  <c r="AF17" i="24" s="1"/>
  <c r="AE14" i="24"/>
  <c r="AF14" i="24" s="1"/>
  <c r="AE6" i="24"/>
  <c r="AF6" i="24" s="1"/>
  <c r="AE2" i="24"/>
  <c r="AF2" i="24" s="1"/>
  <c r="AO22" i="24"/>
  <c r="X25" i="24" s="1"/>
  <c r="AH17" i="24"/>
  <c r="AJ17" i="24" s="1"/>
  <c r="AM17" i="24" s="1"/>
  <c r="AS17" i="24" s="1"/>
  <c r="AH16" i="24"/>
  <c r="AJ16" i="24" s="1"/>
  <c r="AM16" i="24" s="1"/>
  <c r="AS16" i="24" s="1"/>
  <c r="AH15" i="24"/>
  <c r="AJ15" i="24" s="1"/>
  <c r="AM15" i="24" s="1"/>
  <c r="AS15" i="24" s="1"/>
  <c r="AH14" i="24"/>
  <c r="AJ14" i="24" s="1"/>
  <c r="AM14" i="24" s="1"/>
  <c r="AS14" i="24" s="1"/>
  <c r="Y17" i="24"/>
  <c r="AA17" i="24" s="1"/>
  <c r="Y9" i="24"/>
  <c r="AA9" i="24" s="1"/>
  <c r="AE21" i="24"/>
  <c r="AF21" i="24" s="1"/>
  <c r="AE13" i="24"/>
  <c r="AF13" i="24" s="1"/>
  <c r="AH9" i="24"/>
  <c r="AJ9" i="24" s="1"/>
  <c r="AM9" i="24" s="1"/>
  <c r="AS9" i="24" s="1"/>
  <c r="Y16" i="24"/>
  <c r="AA16" i="24" s="1"/>
  <c r="Y8" i="24"/>
  <c r="AA8" i="24" s="1"/>
  <c r="AE20" i="24"/>
  <c r="AF20" i="24" s="1"/>
  <c r="AE12" i="24"/>
  <c r="AF12" i="24" s="1"/>
  <c r="AH8" i="24"/>
  <c r="AJ8" i="24" s="1"/>
  <c r="AM8" i="24" s="1"/>
  <c r="AS8" i="24" s="1"/>
  <c r="AH7" i="24"/>
  <c r="AJ7" i="24" s="1"/>
  <c r="AM7" i="24" s="1"/>
  <c r="AS7" i="24" s="1"/>
  <c r="Y14" i="24"/>
  <c r="AA14" i="24" s="1"/>
  <c r="Y6" i="24"/>
  <c r="AA6" i="24" s="1"/>
  <c r="AH2" i="24"/>
  <c r="AJ2" i="24" s="1"/>
  <c r="AM2" i="24" s="1"/>
  <c r="AS2" i="24" s="1"/>
  <c r="AH6" i="24"/>
  <c r="AJ6" i="24" s="1"/>
  <c r="AM6" i="24" s="1"/>
  <c r="AS6" i="24" s="1"/>
  <c r="AJ4" i="24"/>
  <c r="AM4" i="24" s="1"/>
  <c r="AS4" i="24" s="1"/>
  <c r="AJ18" i="24"/>
  <c r="AM18" i="24" s="1"/>
  <c r="AS18" i="24" s="1"/>
  <c r="AJ10" i="24"/>
  <c r="AM10" i="24" s="1"/>
  <c r="AS10" i="24" s="1"/>
  <c r="AE10" i="24"/>
  <c r="AF10" i="24" s="1"/>
  <c r="V13" i="28" s="1"/>
  <c r="Y21" i="24"/>
  <c r="AA21" i="24" s="1"/>
  <c r="Y13" i="24"/>
  <c r="AA13" i="24" s="1"/>
  <c r="Y5" i="24"/>
  <c r="AA5" i="24" s="1"/>
  <c r="AH21" i="24"/>
  <c r="AJ21" i="24" s="1"/>
  <c r="AM21" i="24" s="1"/>
  <c r="AS21" i="24" s="1"/>
  <c r="AH13" i="24"/>
  <c r="AJ13" i="24" s="1"/>
  <c r="AM13" i="24" s="1"/>
  <c r="AS13" i="24" s="1"/>
  <c r="Y20" i="24"/>
  <c r="AA20" i="24" s="1"/>
  <c r="Y12" i="24"/>
  <c r="AA12" i="24" s="1"/>
  <c r="Y4" i="24"/>
  <c r="AA4" i="24" s="1"/>
  <c r="AH5" i="24"/>
  <c r="AJ5" i="24" s="1"/>
  <c r="AM5" i="24" s="1"/>
  <c r="AS5" i="24" s="1"/>
  <c r="AH20" i="24"/>
  <c r="AJ20" i="24" s="1"/>
  <c r="AM20" i="24" s="1"/>
  <c r="AS20" i="24" s="1"/>
  <c r="AH12" i="24"/>
  <c r="AJ12" i="24" s="1"/>
  <c r="AM12" i="24" s="1"/>
  <c r="AS12" i="24" s="1"/>
  <c r="AE18" i="24"/>
  <c r="AF18" i="24" s="1"/>
  <c r="Y19" i="24"/>
  <c r="AA19" i="24" s="1"/>
  <c r="Y11" i="24"/>
  <c r="AA11" i="24" s="1"/>
  <c r="Y3" i="24"/>
  <c r="AA3" i="24" s="1"/>
  <c r="AH19" i="24"/>
  <c r="AJ19" i="24" s="1"/>
  <c r="AH11" i="24"/>
  <c r="AJ11" i="24" s="1"/>
  <c r="Y2" i="24"/>
  <c r="AA2" i="24" s="1"/>
  <c r="Y18" i="24"/>
  <c r="AA18" i="24" s="1"/>
  <c r="Y10" i="24"/>
  <c r="AA10" i="24" s="1"/>
  <c r="AE5" i="24"/>
  <c r="AF5" i="24" s="1"/>
  <c r="AE4" i="24"/>
  <c r="AF4" i="24" s="1"/>
  <c r="AE3" i="24"/>
  <c r="AF3" i="24" s="1"/>
  <c r="BQ7" i="20"/>
  <c r="BQ8" i="20"/>
  <c r="BQ9" i="20"/>
  <c r="BQ10" i="20"/>
  <c r="BQ11" i="20"/>
  <c r="BQ12" i="20"/>
  <c r="BQ13" i="20"/>
  <c r="BQ14" i="20"/>
  <c r="BQ15" i="20"/>
  <c r="BQ16" i="20"/>
  <c r="BQ17" i="20"/>
  <c r="BQ6" i="20"/>
  <c r="FH20" i="20" l="1"/>
  <c r="V20" i="28"/>
  <c r="V24" i="28"/>
  <c r="V23" i="28"/>
  <c r="AM11" i="24"/>
  <c r="AS11" i="24" s="1"/>
  <c r="V14" i="28" s="1"/>
  <c r="V16" i="28"/>
  <c r="AM19" i="24"/>
  <c r="AS19" i="24" s="1"/>
  <c r="V22" i="28" s="1"/>
  <c r="V15" i="28"/>
  <c r="O36" i="20"/>
  <c r="C6" i="41"/>
  <c r="V6" i="28"/>
  <c r="V11" i="28"/>
  <c r="V18" i="28"/>
  <c r="V19" i="28"/>
  <c r="V9" i="28"/>
  <c r="V10" i="28"/>
  <c r="V12" i="28"/>
  <c r="V17" i="28"/>
  <c r="V21" i="28"/>
  <c r="V8" i="28"/>
  <c r="V7" i="28"/>
  <c r="V5" i="28"/>
  <c r="AJ22" i="24"/>
  <c r="AA22" i="24"/>
  <c r="CY26" i="20" s="1"/>
  <c r="AF22" i="24"/>
  <c r="BG37" i="20"/>
  <c r="BF37" i="20"/>
  <c r="V3" i="22"/>
  <c r="V25" i="22"/>
  <c r="V23" i="22"/>
  <c r="V24" i="22"/>
  <c r="V21" i="22"/>
  <c r="V22" i="22"/>
  <c r="V19" i="22"/>
  <c r="V20" i="22"/>
  <c r="V4" i="22"/>
  <c r="V5" i="22"/>
  <c r="V6" i="22"/>
  <c r="V7" i="22"/>
  <c r="V8" i="22"/>
  <c r="V9" i="22"/>
  <c r="V10" i="22"/>
  <c r="V11" i="22"/>
  <c r="V12" i="22"/>
  <c r="V13" i="22"/>
  <c r="V14" i="22"/>
  <c r="V15" i="22"/>
  <c r="V16" i="22"/>
  <c r="V17" i="22"/>
  <c r="V18" i="22"/>
  <c r="FH21" i="20" l="1"/>
  <c r="C13" i="41"/>
  <c r="H13" i="41" s="1"/>
  <c r="AM22" i="24"/>
  <c r="CY27" i="20"/>
  <c r="BK37" i="20"/>
  <c r="BH37" i="20"/>
  <c r="H1" i="24"/>
  <c r="DE7" i="20"/>
  <c r="DF7" i="20"/>
  <c r="DE8" i="20"/>
  <c r="DF8" i="20"/>
  <c r="DE9" i="20"/>
  <c r="DF9" i="20"/>
  <c r="DE10" i="20"/>
  <c r="DF10" i="20"/>
  <c r="DE11" i="20"/>
  <c r="DF11" i="20"/>
  <c r="DE12" i="20"/>
  <c r="DF12" i="20"/>
  <c r="DE13" i="20"/>
  <c r="DF13" i="20"/>
  <c r="DE14" i="20"/>
  <c r="DF14" i="20"/>
  <c r="DE15" i="20"/>
  <c r="DF15" i="20"/>
  <c r="DE16" i="20"/>
  <c r="DF16" i="20"/>
  <c r="DE17" i="20"/>
  <c r="DF17" i="20"/>
  <c r="DE18" i="20"/>
  <c r="DF18" i="20"/>
  <c r="DE19" i="20"/>
  <c r="DF19" i="20"/>
  <c r="DE20" i="20"/>
  <c r="DF20" i="20"/>
  <c r="DE21" i="20"/>
  <c r="DF21" i="20"/>
  <c r="DE22" i="20"/>
  <c r="DF22" i="20"/>
  <c r="DE23" i="20"/>
  <c r="DF23" i="20"/>
  <c r="DE24" i="20"/>
  <c r="DF24" i="20"/>
  <c r="DE25" i="20"/>
  <c r="DF25" i="20"/>
  <c r="DE26" i="20"/>
  <c r="DF26" i="20"/>
  <c r="DE27" i="20"/>
  <c r="DF27" i="20"/>
  <c r="DE28" i="20"/>
  <c r="DF28" i="20"/>
  <c r="DD28" i="20"/>
  <c r="DJ28" i="20" s="1"/>
  <c r="DD25" i="20"/>
  <c r="DJ25" i="20" s="1"/>
  <c r="DD26" i="20"/>
  <c r="DJ26" i="20" s="1"/>
  <c r="DD27" i="20"/>
  <c r="DJ27" i="20" s="1"/>
  <c r="DD7" i="20"/>
  <c r="DJ7" i="20" s="1"/>
  <c r="DD8" i="20"/>
  <c r="DJ8" i="20" s="1"/>
  <c r="DD9" i="20"/>
  <c r="DJ9" i="20" s="1"/>
  <c r="DD10" i="20"/>
  <c r="DJ10" i="20" s="1"/>
  <c r="DD11" i="20"/>
  <c r="DJ11" i="20" s="1"/>
  <c r="DD12" i="20"/>
  <c r="DJ12" i="20" s="1"/>
  <c r="DD13" i="20"/>
  <c r="DJ13" i="20" s="1"/>
  <c r="DD14" i="20"/>
  <c r="DJ14" i="20" s="1"/>
  <c r="DD15" i="20"/>
  <c r="DJ15" i="20" s="1"/>
  <c r="DD16" i="20"/>
  <c r="DJ16" i="20" s="1"/>
  <c r="DD17" i="20"/>
  <c r="DJ17" i="20" s="1"/>
  <c r="DD18" i="20"/>
  <c r="DJ18" i="20" s="1"/>
  <c r="DD19" i="20"/>
  <c r="DJ19" i="20" s="1"/>
  <c r="DD20" i="20"/>
  <c r="DJ20" i="20" s="1"/>
  <c r="DD21" i="20"/>
  <c r="DJ21" i="20" s="1"/>
  <c r="DD22" i="20"/>
  <c r="DJ22" i="20" s="1"/>
  <c r="DD23" i="20"/>
  <c r="DJ23" i="20" s="1"/>
  <c r="DD24" i="20"/>
  <c r="DJ24" i="20" s="1"/>
  <c r="DO57" i="20"/>
  <c r="DO58" i="20"/>
  <c r="DO59" i="20"/>
  <c r="DO60" i="20"/>
  <c r="DO61" i="20"/>
  <c r="DO62" i="20"/>
  <c r="DO63" i="20"/>
  <c r="DO64" i="20"/>
  <c r="DO65" i="20"/>
  <c r="DO66" i="20"/>
  <c r="DO67" i="20"/>
  <c r="DO68" i="20"/>
  <c r="DO69" i="20"/>
  <c r="DO70" i="20"/>
  <c r="DO71" i="20"/>
  <c r="DO72" i="20"/>
  <c r="DO73" i="20"/>
  <c r="DO74" i="20"/>
  <c r="DO75" i="20"/>
  <c r="DO76" i="20"/>
  <c r="DO77" i="20"/>
  <c r="DM57" i="20"/>
  <c r="DM58" i="20"/>
  <c r="DM59" i="20"/>
  <c r="DM60" i="20"/>
  <c r="DM61" i="20"/>
  <c r="DM62" i="20"/>
  <c r="DM63" i="20"/>
  <c r="DM64" i="20"/>
  <c r="DM65" i="20"/>
  <c r="DM66" i="20"/>
  <c r="DM67" i="20"/>
  <c r="DM68" i="20"/>
  <c r="DM69" i="20"/>
  <c r="DM70" i="20"/>
  <c r="DM71" i="20"/>
  <c r="DM72" i="20"/>
  <c r="DM73" i="20"/>
  <c r="DM74" i="20"/>
  <c r="DM75" i="20"/>
  <c r="DM76" i="20"/>
  <c r="DM77" i="20"/>
  <c r="DJ57" i="20"/>
  <c r="DK57" i="20" s="1"/>
  <c r="DJ58" i="20"/>
  <c r="DK58" i="20" s="1"/>
  <c r="DJ59" i="20"/>
  <c r="DK59" i="20" s="1"/>
  <c r="DJ60" i="20"/>
  <c r="DK60" i="20" s="1"/>
  <c r="DJ61" i="20"/>
  <c r="DK61" i="20" s="1"/>
  <c r="DJ62" i="20"/>
  <c r="DK62" i="20" s="1"/>
  <c r="DJ63" i="20"/>
  <c r="DJ64" i="20"/>
  <c r="DJ65" i="20"/>
  <c r="DK65" i="20" s="1"/>
  <c r="DJ66" i="20"/>
  <c r="DK66" i="20" s="1"/>
  <c r="DJ67" i="20"/>
  <c r="DK67" i="20" s="1"/>
  <c r="DJ68" i="20"/>
  <c r="DK68" i="20" s="1"/>
  <c r="DJ69" i="20"/>
  <c r="DK69" i="20" s="1"/>
  <c r="DJ70" i="20"/>
  <c r="DK70" i="20" s="1"/>
  <c r="DJ71" i="20"/>
  <c r="DK71" i="20" s="1"/>
  <c r="DJ72" i="20"/>
  <c r="DK72" i="20" s="1"/>
  <c r="DJ73" i="20"/>
  <c r="DK73" i="20" s="1"/>
  <c r="DJ74" i="20"/>
  <c r="DK74" i="20" s="1"/>
  <c r="DJ75" i="20"/>
  <c r="DK75" i="20" s="1"/>
  <c r="DJ76" i="20"/>
  <c r="DK76" i="20" s="1"/>
  <c r="DJ77" i="20"/>
  <c r="DK77" i="20" s="1"/>
  <c r="DJ56" i="20"/>
  <c r="DK63" i="20"/>
  <c r="DK64" i="20"/>
  <c r="DI57" i="20"/>
  <c r="DI58" i="20"/>
  <c r="DI59" i="20"/>
  <c r="DI60" i="20"/>
  <c r="DI61" i="20"/>
  <c r="DI62" i="20"/>
  <c r="DI63" i="20"/>
  <c r="DI64" i="20"/>
  <c r="DI65" i="20"/>
  <c r="DI66" i="20"/>
  <c r="DI67" i="20"/>
  <c r="DI68" i="20"/>
  <c r="DI69" i="20"/>
  <c r="DI70" i="20"/>
  <c r="DI71" i="20"/>
  <c r="DI72" i="20"/>
  <c r="DI73" i="20"/>
  <c r="DI74" i="20"/>
  <c r="DI75" i="20"/>
  <c r="DI76" i="20"/>
  <c r="DI77" i="20"/>
  <c r="DF57" i="20" a="1"/>
  <c r="DF57" i="20" s="1"/>
  <c r="DS57" i="20" s="1"/>
  <c r="DF58" i="20" a="1"/>
  <c r="DF58" i="20" s="1"/>
  <c r="DS58" i="20" s="1"/>
  <c r="DF59" i="20" a="1"/>
  <c r="DF59" i="20" s="1"/>
  <c r="DS59" i="20" s="1"/>
  <c r="DF60" i="20" a="1"/>
  <c r="DF60" i="20" s="1"/>
  <c r="DS60" i="20" s="1"/>
  <c r="DF61" i="20" a="1"/>
  <c r="DF61" i="20" s="1"/>
  <c r="DS61" i="20" s="1"/>
  <c r="DF62" i="20" a="1"/>
  <c r="DF62" i="20" s="1"/>
  <c r="DS62" i="20" s="1"/>
  <c r="DF63" i="20" a="1"/>
  <c r="DF63" i="20" s="1"/>
  <c r="DS63" i="20" s="1"/>
  <c r="DF64" i="20" a="1"/>
  <c r="DF64" i="20" s="1"/>
  <c r="DS64" i="20" s="1"/>
  <c r="DF65" i="20" a="1"/>
  <c r="DF65" i="20" s="1"/>
  <c r="DS65" i="20" s="1"/>
  <c r="DF66" i="20" a="1"/>
  <c r="DF66" i="20" s="1"/>
  <c r="DS66" i="20" s="1"/>
  <c r="DF67" i="20" a="1"/>
  <c r="DF67" i="20" s="1"/>
  <c r="DS67" i="20" s="1"/>
  <c r="DF68" i="20" a="1"/>
  <c r="DF68" i="20" s="1"/>
  <c r="DS68" i="20" s="1"/>
  <c r="DF69" i="20" a="1"/>
  <c r="DF69" i="20" s="1"/>
  <c r="DS69" i="20" s="1"/>
  <c r="DF70" i="20" a="1"/>
  <c r="DF70" i="20" s="1"/>
  <c r="DS70" i="20" s="1"/>
  <c r="DF71" i="20" a="1"/>
  <c r="DF71" i="20" s="1"/>
  <c r="DS71" i="20" s="1"/>
  <c r="DF72" i="20" a="1"/>
  <c r="DF72" i="20" s="1"/>
  <c r="DS72" i="20" s="1"/>
  <c r="DF73" i="20" a="1"/>
  <c r="DF73" i="20" s="1"/>
  <c r="DS73" i="20" s="1"/>
  <c r="DF74" i="20" a="1"/>
  <c r="DF74" i="20" s="1"/>
  <c r="DS74" i="20" s="1"/>
  <c r="DF75" i="20" a="1"/>
  <c r="DF75" i="20" s="1"/>
  <c r="DS75" i="20" s="1"/>
  <c r="DF76" i="20" a="1"/>
  <c r="DF76" i="20" s="1"/>
  <c r="DS76" i="20" s="1"/>
  <c r="DF77" i="20" a="1"/>
  <c r="DF77" i="20" s="1"/>
  <c r="DS77" i="20" s="1"/>
  <c r="G5" i="21"/>
  <c r="G6" i="21"/>
  <c r="G7" i="21"/>
  <c r="G8" i="21"/>
  <c r="G9" i="21"/>
  <c r="G10" i="21"/>
  <c r="C5" i="21"/>
  <c r="N4" i="30" s="1"/>
  <c r="C6" i="21"/>
  <c r="C7" i="21"/>
  <c r="C8" i="21"/>
  <c r="C9" i="21"/>
  <c r="C10" i="21"/>
  <c r="B5" i="21"/>
  <c r="B6" i="21"/>
  <c r="B7" i="21"/>
  <c r="B8" i="21"/>
  <c r="B9" i="21"/>
  <c r="B10" i="21"/>
  <c r="E20" i="27"/>
  <c r="E5" i="21" s="1"/>
  <c r="E21" i="27"/>
  <c r="E6" i="21" s="1"/>
  <c r="E22" i="27"/>
  <c r="E7" i="21" s="1"/>
  <c r="E23" i="27"/>
  <c r="E8" i="21" s="1"/>
  <c r="E24" i="27"/>
  <c r="E9" i="21" s="1"/>
  <c r="E25" i="27"/>
  <c r="E10" i="21" s="1"/>
  <c r="C9" i="30" s="1"/>
  <c r="D20" i="27"/>
  <c r="D5" i="21" s="1"/>
  <c r="B4" i="30" s="1"/>
  <c r="D21" i="27"/>
  <c r="D6" i="21" s="1"/>
  <c r="D22" i="27"/>
  <c r="D7" i="21" s="1"/>
  <c r="D23" i="27"/>
  <c r="D8" i="21" s="1"/>
  <c r="D24" i="27"/>
  <c r="D9" i="21" s="1"/>
  <c r="D25" i="27"/>
  <c r="D10" i="21" s="1"/>
  <c r="CX29" i="20"/>
  <c r="CX30" i="20"/>
  <c r="CX31" i="20"/>
  <c r="CX32" i="20"/>
  <c r="CX33" i="20"/>
  <c r="CX34" i="20"/>
  <c r="CX35" i="20"/>
  <c r="CX36" i="20"/>
  <c r="CX37" i="20"/>
  <c r="CX38" i="20"/>
  <c r="CX39" i="20"/>
  <c r="CX40" i="20"/>
  <c r="CX41" i="20"/>
  <c r="CX42" i="20"/>
  <c r="CX43" i="20"/>
  <c r="CX44" i="20"/>
  <c r="CX45" i="20"/>
  <c r="CX46" i="20"/>
  <c r="CX47" i="20"/>
  <c r="CX48" i="20"/>
  <c r="CX49" i="20"/>
  <c r="CX51" i="20"/>
  <c r="CW29" i="20"/>
  <c r="CW30" i="20"/>
  <c r="CW31" i="20"/>
  <c r="CW32" i="20"/>
  <c r="CW33" i="20"/>
  <c r="CW34" i="20"/>
  <c r="CW35" i="20"/>
  <c r="CW36" i="20"/>
  <c r="CW37" i="20"/>
  <c r="CW38" i="20"/>
  <c r="CW39" i="20"/>
  <c r="CW40" i="20"/>
  <c r="CW41" i="20"/>
  <c r="CW42" i="20"/>
  <c r="CW43" i="20"/>
  <c r="CW44" i="20"/>
  <c r="CW45" i="20"/>
  <c r="CW46" i="20"/>
  <c r="CW47" i="20"/>
  <c r="CW48" i="20"/>
  <c r="CW49" i="20"/>
  <c r="CW51" i="20"/>
  <c r="CT32" i="20"/>
  <c r="CU32" i="20" s="1"/>
  <c r="CT33" i="20"/>
  <c r="CU33" i="20" s="1"/>
  <c r="CT34" i="20"/>
  <c r="CU34" i="20" s="1"/>
  <c r="CT35" i="20"/>
  <c r="CU35" i="20" s="1"/>
  <c r="CT36" i="20"/>
  <c r="CU36" i="20" s="1"/>
  <c r="CT37" i="20"/>
  <c r="CU37" i="20" s="1"/>
  <c r="CT38" i="20"/>
  <c r="CU38" i="20" s="1"/>
  <c r="CT39" i="20"/>
  <c r="CU39" i="20" s="1"/>
  <c r="CT40" i="20"/>
  <c r="CU40" i="20" s="1"/>
  <c r="CT41" i="20"/>
  <c r="CU41" i="20" s="1"/>
  <c r="CT42" i="20"/>
  <c r="CU42" i="20" s="1"/>
  <c r="CT43" i="20"/>
  <c r="CU43" i="20" s="1"/>
  <c r="CT44" i="20"/>
  <c r="CU44" i="20" s="1"/>
  <c r="CT45" i="20"/>
  <c r="CU45" i="20" s="1"/>
  <c r="CT46" i="20"/>
  <c r="CU46" i="20" s="1"/>
  <c r="CT47" i="20"/>
  <c r="CU47" i="20" s="1"/>
  <c r="CT48" i="20"/>
  <c r="CU48" i="20" s="1"/>
  <c r="CT49" i="20"/>
  <c r="CU49" i="20" s="1"/>
  <c r="CT51" i="20"/>
  <c r="CU51" i="20" s="1"/>
  <c r="CT29" i="20"/>
  <c r="CU29" i="20" s="1"/>
  <c r="CT30" i="20"/>
  <c r="CU30" i="20" s="1"/>
  <c r="CT31" i="20"/>
  <c r="CU31" i="20" s="1"/>
  <c r="CT28" i="20"/>
  <c r="CS29" i="20"/>
  <c r="CS30" i="20"/>
  <c r="CS31" i="20"/>
  <c r="CS32" i="20"/>
  <c r="CS33" i="20"/>
  <c r="CS34" i="20"/>
  <c r="CS35" i="20"/>
  <c r="CS36" i="20"/>
  <c r="CS37" i="20"/>
  <c r="CS38" i="20"/>
  <c r="CS39" i="20"/>
  <c r="CS40" i="20"/>
  <c r="CS41" i="20"/>
  <c r="CS42" i="20"/>
  <c r="CS43" i="20"/>
  <c r="CS44" i="20"/>
  <c r="CS45" i="20"/>
  <c r="CS46" i="20"/>
  <c r="CS47" i="20"/>
  <c r="CS48" i="20"/>
  <c r="CS49" i="20"/>
  <c r="CS51" i="20"/>
  <c r="CS28" i="20"/>
  <c r="CO28" i="20"/>
  <c r="CR28" i="20" s="1"/>
  <c r="DB30" i="20" s="1"/>
  <c r="CO49" i="20"/>
  <c r="DY27" i="20" s="1"/>
  <c r="CO51" i="20"/>
  <c r="DY28" i="20" s="1"/>
  <c r="CO45" i="20"/>
  <c r="DY23" i="20" s="1"/>
  <c r="CO46" i="20"/>
  <c r="DY24" i="20" s="1"/>
  <c r="CO47" i="20"/>
  <c r="CR47" i="20" s="1"/>
  <c r="DB49" i="20" s="1"/>
  <c r="CO48" i="20"/>
  <c r="CR48" i="20" s="1"/>
  <c r="DB51" i="20" s="1"/>
  <c r="CO42" i="20"/>
  <c r="CR42" i="20" s="1"/>
  <c r="DB44" i="20" s="1"/>
  <c r="CO43" i="20"/>
  <c r="DY21" i="20" s="1"/>
  <c r="CO44" i="20"/>
  <c r="CR44" i="20" s="1"/>
  <c r="DB46" i="20" s="1"/>
  <c r="CO35" i="20"/>
  <c r="DY13" i="20" s="1"/>
  <c r="CO36" i="20"/>
  <c r="DY14" i="20" s="1"/>
  <c r="CO37" i="20"/>
  <c r="CR37" i="20" s="1"/>
  <c r="DB39" i="20" s="1"/>
  <c r="CO38" i="20"/>
  <c r="DY16" i="20" s="1"/>
  <c r="CO39" i="20"/>
  <c r="DY17" i="20" s="1"/>
  <c r="CO40" i="20"/>
  <c r="CR40" i="20" s="1"/>
  <c r="DB42" i="20" s="1"/>
  <c r="CO41" i="20"/>
  <c r="DY19" i="20" s="1"/>
  <c r="CO29" i="20"/>
  <c r="DY7" i="20" s="1"/>
  <c r="EE7" i="20" s="1"/>
  <c r="CO30" i="20"/>
  <c r="CR30" i="20" s="1"/>
  <c r="DB32" i="20" s="1"/>
  <c r="CO31" i="20"/>
  <c r="CR31" i="20" s="1"/>
  <c r="DB33" i="20" s="1"/>
  <c r="CO32" i="20"/>
  <c r="CR32" i="20" s="1"/>
  <c r="DB34" i="20" s="1"/>
  <c r="CO33" i="20"/>
  <c r="CR33" i="20" s="1"/>
  <c r="DB35" i="20" s="1"/>
  <c r="CO34" i="20"/>
  <c r="DY12" i="20" s="1"/>
  <c r="M13" i="26"/>
  <c r="DC12" i="20" s="1"/>
  <c r="M14" i="26"/>
  <c r="DC13" i="20" s="1"/>
  <c r="M15" i="26"/>
  <c r="DC14" i="20" s="1"/>
  <c r="M16" i="26"/>
  <c r="DC15" i="20" s="1"/>
  <c r="M17" i="26"/>
  <c r="DC16" i="20" s="1"/>
  <c r="M18" i="26"/>
  <c r="DC17" i="20" s="1"/>
  <c r="M19" i="26"/>
  <c r="DC18" i="20" s="1"/>
  <c r="M20" i="26"/>
  <c r="DC19" i="20" s="1"/>
  <c r="M21" i="26"/>
  <c r="DC20" i="20" s="1"/>
  <c r="M22" i="26"/>
  <c r="DC21" i="20" s="1"/>
  <c r="M23" i="26"/>
  <c r="DC22" i="20" s="1"/>
  <c r="M24" i="26"/>
  <c r="DC23" i="20" s="1"/>
  <c r="M25" i="26"/>
  <c r="DC24" i="20" s="1"/>
  <c r="M26" i="26"/>
  <c r="DC25" i="20" s="1"/>
  <c r="M27" i="26"/>
  <c r="DC26" i="20" s="1"/>
  <c r="M28" i="26"/>
  <c r="DC27" i="20" s="1"/>
  <c r="Z24" i="22" s="1"/>
  <c r="M29" i="26"/>
  <c r="DB27" i="20" s="1"/>
  <c r="FH22" i="20" l="1"/>
  <c r="DR76" i="20"/>
  <c r="DR68" i="20"/>
  <c r="DR60" i="20"/>
  <c r="DR75" i="20"/>
  <c r="DR67" i="20"/>
  <c r="DR72" i="20"/>
  <c r="DR64" i="20"/>
  <c r="DR71" i="20"/>
  <c r="DR63" i="20"/>
  <c r="DR70" i="20"/>
  <c r="DR62" i="20"/>
  <c r="DR77" i="20"/>
  <c r="DR69" i="20"/>
  <c r="DR61" i="20"/>
  <c r="DR74" i="20"/>
  <c r="DR66" i="20"/>
  <c r="DR73" i="20"/>
  <c r="DR65" i="20"/>
  <c r="DR59" i="20"/>
  <c r="DR57" i="20"/>
  <c r="DR58" i="20"/>
  <c r="DU23" i="20"/>
  <c r="EF23" i="20" s="1"/>
  <c r="E10" i="19"/>
  <c r="X11" i="19" s="1"/>
  <c r="AF11" i="19" s="1"/>
  <c r="C7" i="30"/>
  <c r="E9" i="19"/>
  <c r="X10" i="19" s="1"/>
  <c r="AF10" i="19" s="1"/>
  <c r="C6" i="30"/>
  <c r="D10" i="19"/>
  <c r="W11" i="19" s="1"/>
  <c r="AE11" i="19" s="1"/>
  <c r="B7" i="30"/>
  <c r="D9" i="19"/>
  <c r="W10" i="19" s="1"/>
  <c r="AE10" i="19" s="1"/>
  <c r="B6" i="30"/>
  <c r="E7" i="19"/>
  <c r="X8" i="19" s="1"/>
  <c r="AF8" i="19" s="1"/>
  <c r="C4" i="30"/>
  <c r="D4" i="30" s="1"/>
  <c r="G4" i="30" s="1"/>
  <c r="E11" i="19"/>
  <c r="X12" i="19" s="1"/>
  <c r="AF12" i="19" s="1"/>
  <c r="C8" i="30"/>
  <c r="D11" i="19"/>
  <c r="W12" i="19" s="1"/>
  <c r="AE12" i="19" s="1"/>
  <c r="B8" i="30"/>
  <c r="D8" i="19"/>
  <c r="W9" i="19" s="1"/>
  <c r="AE9" i="19" s="1"/>
  <c r="B5" i="30"/>
  <c r="D12" i="19"/>
  <c r="W13" i="19" s="1"/>
  <c r="AE13" i="19" s="1"/>
  <c r="B9" i="30"/>
  <c r="D9" i="30" s="1"/>
  <c r="G9" i="30" s="1"/>
  <c r="E8" i="19"/>
  <c r="X9" i="19" s="1"/>
  <c r="AF9" i="19" s="1"/>
  <c r="C5" i="30"/>
  <c r="G9" i="19"/>
  <c r="H6" i="30"/>
  <c r="G8" i="19"/>
  <c r="H5" i="30"/>
  <c r="G12" i="19"/>
  <c r="H9" i="30"/>
  <c r="G11" i="19"/>
  <c r="H8" i="30"/>
  <c r="G10" i="19"/>
  <c r="H7" i="30"/>
  <c r="G7" i="19"/>
  <c r="H4" i="30"/>
  <c r="C10" i="19"/>
  <c r="V11" i="19" s="1"/>
  <c r="N7" i="30"/>
  <c r="C9" i="19"/>
  <c r="V10" i="19" s="1"/>
  <c r="AD10" i="19" s="1"/>
  <c r="N6" i="30"/>
  <c r="C8" i="19"/>
  <c r="V9" i="19" s="1"/>
  <c r="AD9" i="19" s="1"/>
  <c r="N5" i="30"/>
  <c r="B9" i="19"/>
  <c r="U10" i="19" s="1"/>
  <c r="AC10" i="19" s="1"/>
  <c r="O6" i="30"/>
  <c r="B8" i="19"/>
  <c r="U9" i="19" s="1"/>
  <c r="AC9" i="19" s="1"/>
  <c r="O5" i="30"/>
  <c r="B7" i="19"/>
  <c r="U8" i="19" s="1"/>
  <c r="AC8" i="19" s="1"/>
  <c r="O4" i="30"/>
  <c r="B12" i="19"/>
  <c r="U13" i="19" s="1"/>
  <c r="AC13" i="19" s="1"/>
  <c r="O9" i="30"/>
  <c r="B11" i="19"/>
  <c r="U12" i="19" s="1"/>
  <c r="AC12" i="19" s="1"/>
  <c r="O8" i="30"/>
  <c r="B10" i="19"/>
  <c r="U11" i="19" s="1"/>
  <c r="AC11" i="19" s="1"/>
  <c r="O7" i="30"/>
  <c r="C12" i="19"/>
  <c r="V13" i="19" s="1"/>
  <c r="AD13" i="19" s="1"/>
  <c r="N9" i="30"/>
  <c r="C11" i="19"/>
  <c r="V12" i="19" s="1"/>
  <c r="AD12" i="19" s="1"/>
  <c r="N8" i="30"/>
  <c r="DV14" i="20"/>
  <c r="EG14" i="20" s="1"/>
  <c r="DU13" i="20"/>
  <c r="EF13" i="20" s="1"/>
  <c r="DV27" i="20"/>
  <c r="EG27" i="20" s="1"/>
  <c r="CY51" i="20"/>
  <c r="DV8" i="20"/>
  <c r="EG8" i="20" s="1"/>
  <c r="CY31" i="20"/>
  <c r="DV7" i="20"/>
  <c r="EG7" i="20" s="1"/>
  <c r="DW9" i="20"/>
  <c r="EH9" i="20" s="1"/>
  <c r="DU7" i="20"/>
  <c r="EF7" i="20" s="1"/>
  <c r="DW8" i="20"/>
  <c r="EH8" i="20" s="1"/>
  <c r="E12" i="19"/>
  <c r="X13" i="19" s="1"/>
  <c r="AF13" i="19" s="1"/>
  <c r="F10" i="21"/>
  <c r="F12" i="19" s="1"/>
  <c r="F9" i="21"/>
  <c r="F11" i="19" s="1"/>
  <c r="F8" i="21"/>
  <c r="F10" i="19" s="1"/>
  <c r="F7" i="21"/>
  <c r="F9" i="19" s="1"/>
  <c r="F6" i="21"/>
  <c r="F8" i="19" s="1"/>
  <c r="CY35" i="20"/>
  <c r="DW7" i="20"/>
  <c r="EH7" i="20" s="1"/>
  <c r="D7" i="19"/>
  <c r="W8" i="19" s="1"/>
  <c r="AE8" i="19" s="1"/>
  <c r="F5" i="21"/>
  <c r="F7" i="19" s="1"/>
  <c r="DG26" i="20"/>
  <c r="DI26" i="20" s="1"/>
  <c r="DV18" i="20"/>
  <c r="EG18" i="20" s="1"/>
  <c r="DV26" i="20"/>
  <c r="EG26" i="20" s="1"/>
  <c r="C7" i="19"/>
  <c r="V8" i="19" s="1"/>
  <c r="AD8" i="19" s="1"/>
  <c r="DH14" i="20"/>
  <c r="Z11" i="22"/>
  <c r="CR29" i="20"/>
  <c r="DB31" i="20" s="1"/>
  <c r="DH25" i="20"/>
  <c r="Z22" i="22"/>
  <c r="DH17" i="20"/>
  <c r="Z14" i="22"/>
  <c r="DW12" i="20"/>
  <c r="EH12" i="20" s="1"/>
  <c r="DV21" i="20"/>
  <c r="EG21" i="20" s="1"/>
  <c r="DV17" i="20"/>
  <c r="EG17" i="20" s="1"/>
  <c r="DV13" i="20"/>
  <c r="EG13" i="20" s="1"/>
  <c r="DV9" i="20"/>
  <c r="EG9" i="20" s="1"/>
  <c r="DH23" i="20"/>
  <c r="Z20" i="22"/>
  <c r="DH15" i="20"/>
  <c r="Z12" i="22"/>
  <c r="DG9" i="20"/>
  <c r="DI9" i="20" s="1"/>
  <c r="DV28" i="20"/>
  <c r="EG28" i="20" s="1"/>
  <c r="DV20" i="20"/>
  <c r="EG20" i="20" s="1"/>
  <c r="DV16" i="20"/>
  <c r="EG16" i="20" s="1"/>
  <c r="DV12" i="20"/>
  <c r="EG12" i="20" s="1"/>
  <c r="DH26" i="20"/>
  <c r="Z23" i="22"/>
  <c r="DY9" i="20"/>
  <c r="DX9" i="20" s="1"/>
  <c r="EI9" i="20" s="1"/>
  <c r="DH21" i="20"/>
  <c r="Z18" i="22"/>
  <c r="DH13" i="20"/>
  <c r="Z10" i="22"/>
  <c r="DU16" i="20"/>
  <c r="EF16" i="20" s="1"/>
  <c r="DG8" i="20"/>
  <c r="DI8" i="20" s="1"/>
  <c r="DW23" i="20"/>
  <c r="EH23" i="20" s="1"/>
  <c r="DV19" i="20"/>
  <c r="EG19" i="20" s="1"/>
  <c r="DH24" i="20"/>
  <c r="Z21" i="22"/>
  <c r="DH22" i="20"/>
  <c r="Z19" i="22"/>
  <c r="DH28" i="20"/>
  <c r="Z25" i="22"/>
  <c r="DH20" i="20"/>
  <c r="Z17" i="22"/>
  <c r="DH12" i="20"/>
  <c r="Z9" i="22"/>
  <c r="CR51" i="20"/>
  <c r="DB53" i="20" s="1"/>
  <c r="DH18" i="20"/>
  <c r="Z15" i="22"/>
  <c r="DW18" i="20"/>
  <c r="EH18" i="20" s="1"/>
  <c r="DG23" i="20"/>
  <c r="DI23" i="20" s="1"/>
  <c r="DH27" i="20"/>
  <c r="DH16" i="20"/>
  <c r="Z13" i="22"/>
  <c r="DH19" i="20"/>
  <c r="Z16" i="22"/>
  <c r="DU10" i="20"/>
  <c r="EF10" i="20" s="1"/>
  <c r="DG7" i="20"/>
  <c r="DI7" i="20" s="1"/>
  <c r="DU9" i="20"/>
  <c r="EF9" i="20" s="1"/>
  <c r="BF38" i="20"/>
  <c r="H2" i="24"/>
  <c r="EA13" i="20"/>
  <c r="EK13" i="20" s="1"/>
  <c r="DX13" i="20"/>
  <c r="EI13" i="20" s="1"/>
  <c r="DX28" i="20"/>
  <c r="EI28" i="20" s="1"/>
  <c r="EJ28" i="20"/>
  <c r="EA28" i="20"/>
  <c r="EK28" i="20" s="1"/>
  <c r="EE28" i="20"/>
  <c r="CY30" i="20"/>
  <c r="CY29" i="20"/>
  <c r="DX7" i="20"/>
  <c r="EI7" i="20" s="1"/>
  <c r="EA7" i="20"/>
  <c r="EK7" i="20" s="1"/>
  <c r="EJ7" i="20"/>
  <c r="DG20" i="20"/>
  <c r="DI20" i="20" s="1"/>
  <c r="DG25" i="20"/>
  <c r="DI25" i="20" s="1"/>
  <c r="DV25" i="20"/>
  <c r="EG25" i="20" s="1"/>
  <c r="DW21" i="20"/>
  <c r="EH21" i="20" s="1"/>
  <c r="DW17" i="20"/>
  <c r="EH17" i="20" s="1"/>
  <c r="DW13" i="20"/>
  <c r="EH13" i="20" s="1"/>
  <c r="DG19" i="20"/>
  <c r="DI19" i="20" s="1"/>
  <c r="DU8" i="20"/>
  <c r="EF8" i="20" s="1"/>
  <c r="DY8" i="20"/>
  <c r="CY44" i="20"/>
  <c r="CY36" i="20"/>
  <c r="DG17" i="20"/>
  <c r="DI17" i="20" s="1"/>
  <c r="DW28" i="20"/>
  <c r="EH28" i="20" s="1"/>
  <c r="CR46" i="20"/>
  <c r="DB48" i="20" s="1"/>
  <c r="CY43" i="20"/>
  <c r="DG24" i="20"/>
  <c r="DI24" i="20" s="1"/>
  <c r="DW20" i="20"/>
  <c r="EH20" i="20" s="1"/>
  <c r="DG15" i="20"/>
  <c r="DI15" i="20" s="1"/>
  <c r="DU28" i="20"/>
  <c r="EF28" i="20" s="1"/>
  <c r="DW25" i="20"/>
  <c r="EH25" i="20" s="1"/>
  <c r="CR41" i="20"/>
  <c r="DB43" i="20" s="1"/>
  <c r="DG28" i="20"/>
  <c r="DI28" i="20" s="1"/>
  <c r="DU24" i="20"/>
  <c r="EF24" i="20" s="1"/>
  <c r="DG14" i="20"/>
  <c r="DI14" i="20" s="1"/>
  <c r="DU25" i="20"/>
  <c r="EF25" i="20" s="1"/>
  <c r="DW19" i="20"/>
  <c r="EH19" i="20" s="1"/>
  <c r="CR35" i="20"/>
  <c r="DB37" i="20" s="1"/>
  <c r="DW15" i="20"/>
  <c r="EH15" i="20" s="1"/>
  <c r="DW11" i="20"/>
  <c r="EH11" i="20" s="1"/>
  <c r="DG11" i="20"/>
  <c r="DI11" i="20" s="1"/>
  <c r="DU19" i="20"/>
  <c r="EF19" i="20" s="1"/>
  <c r="DY18" i="20"/>
  <c r="EE18" i="20" s="1"/>
  <c r="DV23" i="20"/>
  <c r="EG23" i="20" s="1"/>
  <c r="DV11" i="20"/>
  <c r="EG11" i="20" s="1"/>
  <c r="DU15" i="20"/>
  <c r="EF15" i="20" s="1"/>
  <c r="DU22" i="20"/>
  <c r="EF22" i="20" s="1"/>
  <c r="DG27" i="20"/>
  <c r="DI27" i="20" s="1"/>
  <c r="DW22" i="20"/>
  <c r="EH22" i="20" s="1"/>
  <c r="DW14" i="20"/>
  <c r="EH14" i="20" s="1"/>
  <c r="DU11" i="20"/>
  <c r="EF11" i="20" s="1"/>
  <c r="DY11" i="20"/>
  <c r="EJ11" i="20" s="1"/>
  <c r="DU27" i="20"/>
  <c r="EF27" i="20" s="1"/>
  <c r="DW27" i="20"/>
  <c r="EH27" i="20" s="1"/>
  <c r="DU26" i="20"/>
  <c r="EF26" i="20" s="1"/>
  <c r="DW26" i="20"/>
  <c r="EH26" i="20" s="1"/>
  <c r="DV24" i="20"/>
  <c r="EG24" i="20" s="1"/>
  <c r="DW24" i="20"/>
  <c r="EH24" i="20" s="1"/>
  <c r="DV22" i="20"/>
  <c r="EG22" i="20" s="1"/>
  <c r="DG22" i="20"/>
  <c r="DI22" i="20" s="1"/>
  <c r="DG18" i="20"/>
  <c r="DI18" i="20" s="1"/>
  <c r="DU21" i="20"/>
  <c r="EF21" i="20" s="1"/>
  <c r="DU20" i="20"/>
  <c r="EF20" i="20" s="1"/>
  <c r="DG21" i="20"/>
  <c r="DI21" i="20" s="1"/>
  <c r="DU18" i="20"/>
  <c r="EF18" i="20" s="1"/>
  <c r="DG16" i="20"/>
  <c r="DI16" i="20" s="1"/>
  <c r="DU14" i="20"/>
  <c r="EF14" i="20" s="1"/>
  <c r="DW16" i="20"/>
  <c r="EH16" i="20" s="1"/>
  <c r="DV15" i="20"/>
  <c r="EG15" i="20" s="1"/>
  <c r="DU17" i="20"/>
  <c r="EF17" i="20" s="1"/>
  <c r="DG13" i="20"/>
  <c r="DI13" i="20" s="1"/>
  <c r="DV10" i="20"/>
  <c r="EG10" i="20" s="1"/>
  <c r="DG12" i="20"/>
  <c r="DI12" i="20" s="1"/>
  <c r="DU12" i="20"/>
  <c r="EF12" i="20" s="1"/>
  <c r="CY47" i="20"/>
  <c r="CY39" i="20"/>
  <c r="CY49" i="20"/>
  <c r="CY48" i="20"/>
  <c r="CY46" i="20"/>
  <c r="CY45" i="20"/>
  <c r="CY42" i="20"/>
  <c r="CY41" i="20"/>
  <c r="CY40" i="20"/>
  <c r="CY38" i="20"/>
  <c r="CY37" i="20"/>
  <c r="CY34" i="20"/>
  <c r="CY33" i="20"/>
  <c r="CY32" i="20"/>
  <c r="DW10" i="20"/>
  <c r="EH10" i="20" s="1"/>
  <c r="DG10" i="20"/>
  <c r="DI10" i="20" s="1"/>
  <c r="EE27" i="20"/>
  <c r="EA27" i="20"/>
  <c r="EK27" i="20" s="1"/>
  <c r="EJ27" i="20"/>
  <c r="DX27" i="20"/>
  <c r="EI27" i="20" s="1"/>
  <c r="CR49" i="20"/>
  <c r="DB52" i="20" s="1"/>
  <c r="DY26" i="20"/>
  <c r="DY25" i="20"/>
  <c r="DX24" i="20"/>
  <c r="EI24" i="20" s="1"/>
  <c r="EE24" i="20"/>
  <c r="EJ24" i="20"/>
  <c r="EA24" i="20"/>
  <c r="EK24" i="20" s="1"/>
  <c r="DX23" i="20"/>
  <c r="EI23" i="20" s="1"/>
  <c r="EE23" i="20"/>
  <c r="EA23" i="20"/>
  <c r="EK23" i="20" s="1"/>
  <c r="EJ23" i="20"/>
  <c r="CR45" i="20"/>
  <c r="DB47" i="20" s="1"/>
  <c r="DY22" i="20"/>
  <c r="EA21" i="20"/>
  <c r="EK21" i="20" s="1"/>
  <c r="DX21" i="20"/>
  <c r="EI21" i="20" s="1"/>
  <c r="EJ21" i="20"/>
  <c r="EE21" i="20"/>
  <c r="CR43" i="20"/>
  <c r="DB45" i="20" s="1"/>
  <c r="DY20" i="20"/>
  <c r="EA19" i="20"/>
  <c r="EK19" i="20" s="1"/>
  <c r="EE19" i="20"/>
  <c r="EJ19" i="20"/>
  <c r="DX19" i="20"/>
  <c r="EI19" i="20" s="1"/>
  <c r="DX17" i="20"/>
  <c r="EI17" i="20" s="1"/>
  <c r="EE17" i="20"/>
  <c r="EA17" i="20"/>
  <c r="EK17" i="20" s="1"/>
  <c r="EJ17" i="20"/>
  <c r="CR39" i="20"/>
  <c r="DB41" i="20" s="1"/>
  <c r="DX16" i="20"/>
  <c r="EI16" i="20" s="1"/>
  <c r="EE16" i="20"/>
  <c r="EJ16" i="20"/>
  <c r="EA16" i="20"/>
  <c r="EK16" i="20" s="1"/>
  <c r="CR38" i="20"/>
  <c r="DB40" i="20" s="1"/>
  <c r="DY15" i="20"/>
  <c r="EE14" i="20"/>
  <c r="DX14" i="20"/>
  <c r="EI14" i="20" s="1"/>
  <c r="EJ14" i="20"/>
  <c r="EA14" i="20"/>
  <c r="EK14" i="20" s="1"/>
  <c r="CR36" i="20"/>
  <c r="DB38" i="20" s="1"/>
  <c r="EE13" i="20"/>
  <c r="EJ13" i="20"/>
  <c r="DX12" i="20"/>
  <c r="EI12" i="20" s="1"/>
  <c r="EE12" i="20"/>
  <c r="EJ12" i="20"/>
  <c r="EA12" i="20"/>
  <c r="EK12" i="20" s="1"/>
  <c r="CR34" i="20"/>
  <c r="DB36" i="20" s="1"/>
  <c r="DY10" i="20"/>
  <c r="C12" i="21"/>
  <c r="N11" i="30" s="1"/>
  <c r="C13" i="21"/>
  <c r="N12" i="30" s="1"/>
  <c r="C14" i="21"/>
  <c r="N13" i="30" s="1"/>
  <c r="C15" i="21"/>
  <c r="N14" i="30" s="1"/>
  <c r="C16" i="21"/>
  <c r="N15" i="30" s="1"/>
  <c r="C11" i="21"/>
  <c r="N10" i="30" s="1"/>
  <c r="B12" i="21"/>
  <c r="B13" i="21"/>
  <c r="B14" i="21"/>
  <c r="B15" i="21"/>
  <c r="B16" i="21"/>
  <c r="B11" i="21"/>
  <c r="BG38" i="20"/>
  <c r="EI5" i="20"/>
  <c r="DE6" i="20"/>
  <c r="DF6" i="20"/>
  <c r="DD6" i="20"/>
  <c r="DJ6" i="20" s="1"/>
  <c r="M12" i="26"/>
  <c r="DC11" i="20" s="1"/>
  <c r="M7" i="26"/>
  <c r="DC6" i="20" s="1"/>
  <c r="Z3" i="22" s="1"/>
  <c r="M8" i="26"/>
  <c r="DC7" i="20" s="1"/>
  <c r="M9" i="26"/>
  <c r="DC8" i="20" s="1"/>
  <c r="M10" i="26"/>
  <c r="DC9" i="20" s="1"/>
  <c r="M11" i="26"/>
  <c r="DC10" i="20" s="1"/>
  <c r="EG5" i="20"/>
  <c r="EH5" i="20"/>
  <c r="EF5" i="20"/>
  <c r="DM3" i="20"/>
  <c r="M18" i="19" a="1"/>
  <c r="M18" i="19" s="1"/>
  <c r="DM56" i="20"/>
  <c r="DO56" i="20"/>
  <c r="DK56" i="20"/>
  <c r="DI56" i="20"/>
  <c r="DR56" i="20" s="1"/>
  <c r="DR78" i="20" s="1"/>
  <c r="DT56" i="20" s="1"/>
  <c r="DF56" i="20" a="1"/>
  <c r="DF56" i="20" s="1"/>
  <c r="DS56" i="20" s="1"/>
  <c r="CV32" i="20"/>
  <c r="CV33" i="20"/>
  <c r="CU28" i="20"/>
  <c r="DL6" i="20" s="1"/>
  <c r="CX28" i="20"/>
  <c r="CW28" i="20"/>
  <c r="CV29" i="20"/>
  <c r="CV30" i="20"/>
  <c r="CV31" i="20"/>
  <c r="CV28" i="20"/>
  <c r="CM23" i="20" l="1"/>
  <c r="FH23" i="20"/>
  <c r="DN22" i="20"/>
  <c r="DQ22" i="20" s="1"/>
  <c r="DK24" i="20"/>
  <c r="N25" i="26" s="1"/>
  <c r="DO14" i="20"/>
  <c r="DP14" i="20" s="1"/>
  <c r="DS14" i="20" s="1"/>
  <c r="EC14" i="20" s="1"/>
  <c r="EM14" i="20" s="1"/>
  <c r="DN14" i="20"/>
  <c r="DQ14" i="20" s="1"/>
  <c r="DN15" i="20"/>
  <c r="DQ15" i="20" s="1"/>
  <c r="DO15" i="20"/>
  <c r="DP15" i="20" s="1"/>
  <c r="DT15" i="20" s="1"/>
  <c r="ED15" i="20" s="1"/>
  <c r="EN15" i="20" s="1"/>
  <c r="DO22" i="20"/>
  <c r="DN7" i="20"/>
  <c r="DQ7" i="20" s="1"/>
  <c r="DO7" i="20"/>
  <c r="DN8" i="20"/>
  <c r="DQ8" i="20" s="1"/>
  <c r="DO8" i="20"/>
  <c r="DN11" i="20"/>
  <c r="DQ11" i="20" s="1"/>
  <c r="DO11" i="20"/>
  <c r="DO21" i="20"/>
  <c r="DP21" i="20" s="1"/>
  <c r="DS21" i="20" s="1"/>
  <c r="EC21" i="20" s="1"/>
  <c r="EM21" i="20" s="1"/>
  <c r="DN21" i="20"/>
  <c r="DQ21" i="20" s="1"/>
  <c r="DO18" i="20"/>
  <c r="DN18" i="20"/>
  <c r="DQ18" i="20" s="1"/>
  <c r="DN19" i="20"/>
  <c r="DQ19" i="20" s="1"/>
  <c r="DO19" i="20"/>
  <c r="DN20" i="20"/>
  <c r="DQ20" i="20" s="1"/>
  <c r="DO20" i="20"/>
  <c r="DN16" i="20"/>
  <c r="DQ16" i="20" s="1"/>
  <c r="DO16" i="20"/>
  <c r="DP16" i="20" s="1"/>
  <c r="DZ16" i="20" s="1"/>
  <c r="DO9" i="20"/>
  <c r="DN9" i="20"/>
  <c r="DQ9" i="20" s="1"/>
  <c r="DO10" i="20"/>
  <c r="DN10" i="20"/>
  <c r="DQ10" i="20" s="1"/>
  <c r="DN17" i="20"/>
  <c r="DQ17" i="20" s="1"/>
  <c r="DO17" i="20"/>
  <c r="DN12" i="20"/>
  <c r="DQ12" i="20" s="1"/>
  <c r="DO12" i="20"/>
  <c r="DN13" i="20"/>
  <c r="DQ13" i="20" s="1"/>
  <c r="DO13" i="20"/>
  <c r="D5" i="30"/>
  <c r="G5" i="30" s="1"/>
  <c r="F5" i="30" s="1"/>
  <c r="D7" i="30"/>
  <c r="G7" i="30" s="1"/>
  <c r="F7" i="30" s="1"/>
  <c r="H7" i="21"/>
  <c r="H9" i="19" s="1"/>
  <c r="J9" i="19" s="1"/>
  <c r="I9" i="19" s="1"/>
  <c r="H10" i="21"/>
  <c r="H12" i="19" s="1"/>
  <c r="J12" i="19" s="1"/>
  <c r="I12" i="19" s="1"/>
  <c r="H5" i="21"/>
  <c r="H7" i="19" s="1"/>
  <c r="J7" i="19" s="1"/>
  <c r="I7" i="19" s="1"/>
  <c r="O14" i="30"/>
  <c r="DK25" i="20"/>
  <c r="N26" i="26" s="1"/>
  <c r="DK23" i="20"/>
  <c r="N24" i="26" s="1"/>
  <c r="DK19" i="20"/>
  <c r="N20" i="26" s="1"/>
  <c r="DK17" i="20"/>
  <c r="N18" i="26" s="1"/>
  <c r="H8" i="21"/>
  <c r="H10" i="19" s="1"/>
  <c r="J10" i="19" s="1"/>
  <c r="I10" i="19" s="1"/>
  <c r="D8" i="30"/>
  <c r="G8" i="30" s="1"/>
  <c r="F8" i="30" s="1"/>
  <c r="H6" i="21"/>
  <c r="H8" i="19" s="1"/>
  <c r="J8" i="19" s="1"/>
  <c r="I8" i="19" s="1"/>
  <c r="D6" i="30"/>
  <c r="G6" i="30" s="1"/>
  <c r="F6" i="30" s="1"/>
  <c r="H9" i="21"/>
  <c r="H11" i="19" s="1"/>
  <c r="J11" i="19" s="1"/>
  <c r="I11" i="19" s="1"/>
  <c r="O10" i="30"/>
  <c r="O15" i="30"/>
  <c r="F9" i="30"/>
  <c r="I9" i="30"/>
  <c r="I7" i="30"/>
  <c r="I8" i="30"/>
  <c r="I6" i="30"/>
  <c r="I5" i="30"/>
  <c r="F4" i="30"/>
  <c r="I4" i="30"/>
  <c r="O12" i="30"/>
  <c r="O13" i="30"/>
  <c r="O11" i="30"/>
  <c r="AD11" i="19"/>
  <c r="DK13" i="20"/>
  <c r="DK21" i="20"/>
  <c r="DK28" i="20"/>
  <c r="CY28" i="20"/>
  <c r="CY52" i="20" s="1"/>
  <c r="CZ26" i="20" s="1"/>
  <c r="DK18" i="20"/>
  <c r="DK15" i="20"/>
  <c r="EA18" i="20"/>
  <c r="EK18" i="20" s="1"/>
  <c r="EA9" i="20"/>
  <c r="EK9" i="20" s="1"/>
  <c r="EJ9" i="20"/>
  <c r="EE9" i="20"/>
  <c r="Y13" i="19"/>
  <c r="AG13" i="19" s="1"/>
  <c r="Y12" i="19"/>
  <c r="AG12" i="19" s="1"/>
  <c r="C17" i="21"/>
  <c r="Y10" i="19"/>
  <c r="AG10" i="19" s="1"/>
  <c r="Y11" i="19"/>
  <c r="AG11" i="19" s="1"/>
  <c r="Y9" i="19"/>
  <c r="AG9" i="19" s="1"/>
  <c r="DK14" i="20"/>
  <c r="N15" i="26" s="1"/>
  <c r="Y8" i="19"/>
  <c r="DK16" i="20"/>
  <c r="N17" i="26" s="1"/>
  <c r="DK20" i="20"/>
  <c r="N21" i="26" s="1"/>
  <c r="DK12" i="20"/>
  <c r="B17" i="21"/>
  <c r="BK38" i="20"/>
  <c r="DK27" i="20"/>
  <c r="BH38" i="20"/>
  <c r="DH8" i="20"/>
  <c r="Z5" i="22"/>
  <c r="DK22" i="20"/>
  <c r="N23" i="26" s="1"/>
  <c r="DK26" i="20"/>
  <c r="DH7" i="20"/>
  <c r="Z4" i="22"/>
  <c r="DH10" i="20"/>
  <c r="DK10" i="20" s="1"/>
  <c r="N11" i="26" s="1"/>
  <c r="Z7" i="22"/>
  <c r="DH9" i="20"/>
  <c r="DK9" i="20" s="1"/>
  <c r="N10" i="26" s="1"/>
  <c r="Z6" i="22"/>
  <c r="DH11" i="20"/>
  <c r="DK11" i="20" s="1"/>
  <c r="N12" i="26" s="1"/>
  <c r="Z8" i="22"/>
  <c r="BF39" i="20"/>
  <c r="H3" i="24"/>
  <c r="DX8" i="20"/>
  <c r="EI8" i="20" s="1"/>
  <c r="EA8" i="20"/>
  <c r="EK8" i="20" s="1"/>
  <c r="EJ8" i="20"/>
  <c r="EE8" i="20"/>
  <c r="DG6" i="20"/>
  <c r="DI6" i="20" s="1"/>
  <c r="EJ18" i="20"/>
  <c r="DX18" i="20"/>
  <c r="EI18" i="20" s="1"/>
  <c r="EE11" i="20"/>
  <c r="EA11" i="20"/>
  <c r="EK11" i="20" s="1"/>
  <c r="DX11" i="20"/>
  <c r="EI11" i="20" s="1"/>
  <c r="EE26" i="20"/>
  <c r="EJ26" i="20"/>
  <c r="EA26" i="20"/>
  <c r="EK26" i="20" s="1"/>
  <c r="DX26" i="20"/>
  <c r="EI26" i="20" s="1"/>
  <c r="DX25" i="20"/>
  <c r="EI25" i="20" s="1"/>
  <c r="EE25" i="20"/>
  <c r="EA25" i="20"/>
  <c r="EK25" i="20" s="1"/>
  <c r="EJ25" i="20"/>
  <c r="EE22" i="20"/>
  <c r="EJ22" i="20"/>
  <c r="EA22" i="20"/>
  <c r="EK22" i="20" s="1"/>
  <c r="DX22" i="20"/>
  <c r="EI22" i="20" s="1"/>
  <c r="DX20" i="20"/>
  <c r="EI20" i="20" s="1"/>
  <c r="EE20" i="20"/>
  <c r="EJ20" i="20"/>
  <c r="EA20" i="20"/>
  <c r="EK20" i="20" s="1"/>
  <c r="DX15" i="20"/>
  <c r="EI15" i="20" s="1"/>
  <c r="EA15" i="20"/>
  <c r="EK15" i="20" s="1"/>
  <c r="EJ15" i="20"/>
  <c r="EE15" i="20"/>
  <c r="EA10" i="20"/>
  <c r="EK10" i="20" s="1"/>
  <c r="EJ10" i="20"/>
  <c r="EE10" i="20"/>
  <c r="DX10" i="20"/>
  <c r="EI10" i="20" s="1"/>
  <c r="DW6" i="20"/>
  <c r="EH6" i="20" s="1"/>
  <c r="DV6" i="20"/>
  <c r="EG6" i="20" s="1"/>
  <c r="DU6" i="20"/>
  <c r="EF6" i="20" s="1"/>
  <c r="DH6" i="20"/>
  <c r="DY6" i="20"/>
  <c r="DX6" i="20" s="1"/>
  <c r="EI6" i="20" s="1"/>
  <c r="DN6" i="20" l="1"/>
  <c r="DQ6" i="20" s="1"/>
  <c r="DO6" i="20"/>
  <c r="DP6" i="20" s="1"/>
  <c r="DR6" i="20" s="1"/>
  <c r="FH24" i="20"/>
  <c r="DM23" i="20"/>
  <c r="EQ23" i="20" s="1"/>
  <c r="DP12" i="20"/>
  <c r="DS12" i="20" s="1"/>
  <c r="EC12" i="20" s="1"/>
  <c r="EM12" i="20" s="1"/>
  <c r="DM17" i="20"/>
  <c r="Y14" i="22" s="1"/>
  <c r="ER17" i="20"/>
  <c r="ES17" i="20" s="1"/>
  <c r="ET17" i="20" s="1"/>
  <c r="DM19" i="20"/>
  <c r="Y16" i="22" s="1"/>
  <c r="ER19" i="20"/>
  <c r="ES19" i="20" s="1"/>
  <c r="ET19" i="20" s="1"/>
  <c r="DP18" i="20"/>
  <c r="DZ18" i="20" s="1"/>
  <c r="DP13" i="20"/>
  <c r="DZ13" i="20" s="1"/>
  <c r="DP22" i="20"/>
  <c r="DR22" i="20" s="1"/>
  <c r="EB22" i="20" s="1"/>
  <c r="EL22" i="20" s="1"/>
  <c r="ER23" i="20"/>
  <c r="ES23" i="20" s="1"/>
  <c r="ET23" i="20" s="1"/>
  <c r="K5" i="30"/>
  <c r="Q5" i="30" s="1"/>
  <c r="L5" i="30"/>
  <c r="R5" i="30" s="1"/>
  <c r="K8" i="30"/>
  <c r="Q8" i="30" s="1"/>
  <c r="L8" i="30"/>
  <c r="R8" i="30" s="1"/>
  <c r="K7" i="30"/>
  <c r="Q7" i="30" s="1"/>
  <c r="L7" i="30"/>
  <c r="R7" i="30" s="1"/>
  <c r="L6" i="30"/>
  <c r="R6" i="30" s="1"/>
  <c r="K6" i="30"/>
  <c r="Q6" i="30" s="1"/>
  <c r="L9" i="30"/>
  <c r="R9" i="30" s="1"/>
  <c r="K9" i="30"/>
  <c r="Q9" i="30" s="1"/>
  <c r="L4" i="30"/>
  <c r="R4" i="30" s="1"/>
  <c r="K4" i="30"/>
  <c r="Q4" i="30" s="1"/>
  <c r="N28" i="26"/>
  <c r="N27" i="26"/>
  <c r="ER12" i="20"/>
  <c r="ES12" i="20" s="1"/>
  <c r="ET12" i="20" s="1"/>
  <c r="N13" i="26"/>
  <c r="ER15" i="20"/>
  <c r="ES15" i="20" s="1"/>
  <c r="ET15" i="20" s="1"/>
  <c r="N16" i="26"/>
  <c r="ER18" i="20"/>
  <c r="ES18" i="20" s="1"/>
  <c r="ET18" i="20" s="1"/>
  <c r="N19" i="26"/>
  <c r="N29" i="26"/>
  <c r="ER21" i="20"/>
  <c r="ES21" i="20" s="1"/>
  <c r="ET21" i="20" s="1"/>
  <c r="N22" i="26"/>
  <c r="ER13" i="20"/>
  <c r="ES13" i="20" s="1"/>
  <c r="ET13" i="20" s="1"/>
  <c r="N14" i="26"/>
  <c r="DM13" i="20"/>
  <c r="EQ13" i="20" s="1"/>
  <c r="AG8" i="19"/>
  <c r="DK6" i="20"/>
  <c r="DM6" i="20" s="1"/>
  <c r="DK7" i="20"/>
  <c r="ER7" i="20" s="1"/>
  <c r="ES7" i="20" s="1"/>
  <c r="ET7" i="20" s="1"/>
  <c r="DK8" i="20"/>
  <c r="N9" i="26" s="1"/>
  <c r="DM18" i="20"/>
  <c r="Y15" i="22" s="1"/>
  <c r="CZ27" i="20"/>
  <c r="DC29" i="20" s="1"/>
  <c r="DC28" i="20"/>
  <c r="DM21" i="20"/>
  <c r="Y18" i="22" s="1"/>
  <c r="DP19" i="20"/>
  <c r="DS19" i="20" s="1"/>
  <c r="EC19" i="20" s="1"/>
  <c r="EM19" i="20" s="1"/>
  <c r="DP17" i="20"/>
  <c r="DR17" i="20" s="1"/>
  <c r="EB17" i="20" s="1"/>
  <c r="EL17" i="20" s="1"/>
  <c r="DM12" i="20"/>
  <c r="DM11" i="20"/>
  <c r="ER11" i="20"/>
  <c r="ES11" i="20" s="1"/>
  <c r="ET11" i="20" s="1"/>
  <c r="DM20" i="20"/>
  <c r="ER20" i="20"/>
  <c r="ES20" i="20" s="1"/>
  <c r="ET20" i="20" s="1"/>
  <c r="DM9" i="20"/>
  <c r="ER9" i="20"/>
  <c r="ES9" i="20" s="1"/>
  <c r="ET9" i="20" s="1"/>
  <c r="DM22" i="20"/>
  <c r="ER22" i="20"/>
  <c r="ES22" i="20" s="1"/>
  <c r="ET22" i="20" s="1"/>
  <c r="DM16" i="20"/>
  <c r="ER16" i="20"/>
  <c r="ES16" i="20" s="1"/>
  <c r="ET16" i="20" s="1"/>
  <c r="DP7" i="20"/>
  <c r="DT7" i="20" s="1"/>
  <c r="ED7" i="20" s="1"/>
  <c r="EN7" i="20" s="1"/>
  <c r="DM10" i="20"/>
  <c r="ER10" i="20"/>
  <c r="ES10" i="20" s="1"/>
  <c r="ET10" i="20" s="1"/>
  <c r="DM15" i="20"/>
  <c r="DM14" i="20"/>
  <c r="ER14" i="20"/>
  <c r="ES14" i="20" s="1"/>
  <c r="ET14" i="20" s="1"/>
  <c r="DR16" i="20"/>
  <c r="EB16" i="20" s="1"/>
  <c r="EL16" i="20" s="1"/>
  <c r="DS15" i="20"/>
  <c r="EC15" i="20" s="1"/>
  <c r="EM15" i="20" s="1"/>
  <c r="DR12" i="20"/>
  <c r="EB12" i="20" s="1"/>
  <c r="EL12" i="20" s="1"/>
  <c r="D17" i="21"/>
  <c r="DZ21" i="20"/>
  <c r="DP10" i="20"/>
  <c r="DT10" i="20" s="1"/>
  <c r="ED10" i="20" s="1"/>
  <c r="EN10" i="20" s="1"/>
  <c r="DZ14" i="20"/>
  <c r="DP11" i="20"/>
  <c r="DT11" i="20" s="1"/>
  <c r="ED11" i="20" s="1"/>
  <c r="EN11" i="20" s="1"/>
  <c r="DR15" i="20"/>
  <c r="EB15" i="20" s="1"/>
  <c r="EL15" i="20" s="1"/>
  <c r="DT14" i="20"/>
  <c r="ED14" i="20" s="1"/>
  <c r="EN14" i="20" s="1"/>
  <c r="DS16" i="20"/>
  <c r="EC16" i="20" s="1"/>
  <c r="EM16" i="20" s="1"/>
  <c r="DZ15" i="20"/>
  <c r="DT16" i="20"/>
  <c r="ED16" i="20" s="1"/>
  <c r="EN16" i="20" s="1"/>
  <c r="DT21" i="20"/>
  <c r="ED21" i="20" s="1"/>
  <c r="EN21" i="20" s="1"/>
  <c r="DR21" i="20"/>
  <c r="EB21" i="20" s="1"/>
  <c r="EL21" i="20" s="1"/>
  <c r="BG40" i="20"/>
  <c r="BG39" i="20"/>
  <c r="BK39" i="20" s="1"/>
  <c r="BH39" i="20"/>
  <c r="DR14" i="20"/>
  <c r="EB14" i="20" s="1"/>
  <c r="EL14" i="20" s="1"/>
  <c r="DP9" i="20"/>
  <c r="DS9" i="20" s="1"/>
  <c r="EC9" i="20" s="1"/>
  <c r="EM9" i="20" s="1"/>
  <c r="DP20" i="20"/>
  <c r="DS20" i="20" s="1"/>
  <c r="EC20" i="20" s="1"/>
  <c r="EM20" i="20" s="1"/>
  <c r="BF40" i="20"/>
  <c r="H4" i="24"/>
  <c r="CZ28" i="20"/>
  <c r="DC30" i="20" s="1"/>
  <c r="DP8" i="20"/>
  <c r="BG41" i="20"/>
  <c r="EE6" i="20"/>
  <c r="EJ6" i="20"/>
  <c r="EA6" i="20"/>
  <c r="EK6" i="20" s="1"/>
  <c r="G2" i="24"/>
  <c r="G3" i="24"/>
  <c r="G1" i="24"/>
  <c r="G13" i="22"/>
  <c r="AQ7" i="20"/>
  <c r="AQ8" i="20"/>
  <c r="AQ9" i="20"/>
  <c r="AQ10" i="20"/>
  <c r="AQ11" i="20"/>
  <c r="AQ12" i="20"/>
  <c r="AQ13" i="20"/>
  <c r="AQ14" i="20"/>
  <c r="AQ15" i="20"/>
  <c r="AQ16" i="20"/>
  <c r="AQ17" i="20"/>
  <c r="AQ6" i="20"/>
  <c r="AI5" i="20"/>
  <c r="AI6" i="20"/>
  <c r="AI7" i="20"/>
  <c r="AI8" i="20"/>
  <c r="AI9" i="20"/>
  <c r="AI10" i="20"/>
  <c r="AI11" i="20"/>
  <c r="AI12" i="20"/>
  <c r="AI13" i="20"/>
  <c r="AI14" i="20"/>
  <c r="AI15" i="20"/>
  <c r="AI4" i="20"/>
  <c r="C14" i="19"/>
  <c r="V15" i="19" s="1"/>
  <c r="AD15" i="19" s="1"/>
  <c r="C15" i="19"/>
  <c r="V16" i="19" s="1"/>
  <c r="AD16" i="19" s="1"/>
  <c r="C17" i="19"/>
  <c r="V18" i="19" s="1"/>
  <c r="AD18" i="19" s="1"/>
  <c r="C18" i="19"/>
  <c r="E27" i="27"/>
  <c r="E12" i="21" s="1"/>
  <c r="E28" i="27"/>
  <c r="E13" i="21" s="1"/>
  <c r="E29" i="27"/>
  <c r="E14" i="21" s="1"/>
  <c r="E30" i="27"/>
  <c r="E15" i="21" s="1"/>
  <c r="E31" i="27"/>
  <c r="E16" i="21" s="1"/>
  <c r="C15" i="30" s="1"/>
  <c r="E26" i="27"/>
  <c r="E11" i="21" s="1"/>
  <c r="D27" i="27"/>
  <c r="D12" i="21" s="1"/>
  <c r="B11" i="30" s="1"/>
  <c r="D26" i="27"/>
  <c r="D11" i="21" s="1"/>
  <c r="B2" i="24"/>
  <c r="CP7" i="20" s="1"/>
  <c r="C2" i="24"/>
  <c r="D2" i="24"/>
  <c r="F2" i="24"/>
  <c r="B3" i="24"/>
  <c r="CP8" i="20" s="1"/>
  <c r="C3" i="24"/>
  <c r="D3" i="24"/>
  <c r="F3" i="24"/>
  <c r="B4" i="24"/>
  <c r="CP9" i="20" s="1"/>
  <c r="C4" i="24"/>
  <c r="D4" i="24"/>
  <c r="F4" i="24"/>
  <c r="B5" i="24"/>
  <c r="CP10" i="20" s="1"/>
  <c r="C5" i="24"/>
  <c r="D5" i="24"/>
  <c r="F5" i="24"/>
  <c r="B6" i="24"/>
  <c r="CP11" i="20" s="1"/>
  <c r="C6" i="24"/>
  <c r="D6" i="24"/>
  <c r="F6" i="24"/>
  <c r="B7" i="24"/>
  <c r="CP12" i="20" s="1"/>
  <c r="C7" i="24"/>
  <c r="D7" i="24"/>
  <c r="F7" i="24"/>
  <c r="B8" i="24"/>
  <c r="CP13" i="20" s="1"/>
  <c r="C8" i="24"/>
  <c r="D8" i="24"/>
  <c r="F8" i="24"/>
  <c r="B9" i="24"/>
  <c r="CP14" i="20" s="1"/>
  <c r="C9" i="24"/>
  <c r="D9" i="24"/>
  <c r="F9" i="24"/>
  <c r="B10" i="24"/>
  <c r="CP15" i="20" s="1"/>
  <c r="C10" i="24"/>
  <c r="D10" i="24"/>
  <c r="F10" i="24"/>
  <c r="B11" i="24"/>
  <c r="CP16" i="20" s="1"/>
  <c r="C11" i="24"/>
  <c r="D11" i="24"/>
  <c r="F11" i="24"/>
  <c r="B12" i="24"/>
  <c r="CP17" i="20" s="1"/>
  <c r="C12" i="24"/>
  <c r="D12" i="24"/>
  <c r="F12" i="24"/>
  <c r="F1" i="24"/>
  <c r="C1" i="24"/>
  <c r="D1" i="24"/>
  <c r="B1" i="24"/>
  <c r="CP6" i="20" s="1"/>
  <c r="A1" i="24"/>
  <c r="U16" i="22"/>
  <c r="Q16" i="22"/>
  <c r="BW3" i="20"/>
  <c r="BW2" i="20"/>
  <c r="BK7" i="20"/>
  <c r="CI7" i="20" s="1"/>
  <c r="BK8" i="20"/>
  <c r="CI8" i="20" s="1"/>
  <c r="BK9" i="20"/>
  <c r="CI9" i="20" s="1"/>
  <c r="BK10" i="20"/>
  <c r="CI10" i="20" s="1"/>
  <c r="BK11" i="20"/>
  <c r="CI11" i="20" s="1"/>
  <c r="BK12" i="20"/>
  <c r="CI12" i="20" s="1"/>
  <c r="BK13" i="20"/>
  <c r="CI13" i="20" s="1"/>
  <c r="BK14" i="20"/>
  <c r="CI14" i="20" s="1"/>
  <c r="BK15" i="20"/>
  <c r="CI15" i="20" s="1"/>
  <c r="BK16" i="20"/>
  <c r="CI16" i="20" s="1"/>
  <c r="BK17" i="20"/>
  <c r="CI17" i="20" s="1"/>
  <c r="BK6" i="20"/>
  <c r="E14" i="23"/>
  <c r="E2" i="24" s="1"/>
  <c r="E15" i="23"/>
  <c r="E3" i="24" s="1"/>
  <c r="E16" i="23"/>
  <c r="E4" i="24" s="1"/>
  <c r="E17" i="23"/>
  <c r="E5" i="24" s="1"/>
  <c r="E18" i="23"/>
  <c r="E6" i="24" s="1"/>
  <c r="E19" i="23"/>
  <c r="E7" i="24" s="1"/>
  <c r="E20" i="23"/>
  <c r="E8" i="24" s="1"/>
  <c r="E21" i="23"/>
  <c r="E9" i="24" s="1"/>
  <c r="E22" i="23"/>
  <c r="E10" i="24" s="1"/>
  <c r="E23" i="23"/>
  <c r="E11" i="24" s="1"/>
  <c r="E24" i="23"/>
  <c r="E12" i="24" s="1"/>
  <c r="E1" i="24"/>
  <c r="A5" i="27"/>
  <c r="G5" i="27" s="1"/>
  <c r="A14" i="23"/>
  <c r="A15" i="23" s="1"/>
  <c r="A16" i="23" s="1"/>
  <c r="A17" i="23" s="1"/>
  <c r="A18" i="23" s="1"/>
  <c r="A19" i="23" s="1"/>
  <c r="A20" i="23" s="1"/>
  <c r="A21" i="23" s="1"/>
  <c r="A22" i="23" s="1"/>
  <c r="A23" i="23" s="1"/>
  <c r="A24" i="23" s="1"/>
  <c r="A16" i="27" s="1"/>
  <c r="AX29" i="20"/>
  <c r="AP6" i="20"/>
  <c r="AV23" i="20"/>
  <c r="AX27" i="20" s="1"/>
  <c r="AW21" i="20"/>
  <c r="BN6" i="20"/>
  <c r="BO6" i="20"/>
  <c r="BN7" i="20"/>
  <c r="BO7" i="20"/>
  <c r="BN8" i="20"/>
  <c r="BO8" i="20"/>
  <c r="BN9" i="20"/>
  <c r="BO9" i="20"/>
  <c r="BN10" i="20"/>
  <c r="BO10" i="20"/>
  <c r="BN11" i="20"/>
  <c r="BO11" i="20"/>
  <c r="BN12" i="20"/>
  <c r="BO12" i="20"/>
  <c r="BN13" i="20"/>
  <c r="BO13" i="20"/>
  <c r="BN14" i="20"/>
  <c r="BO14" i="20"/>
  <c r="BN15" i="20"/>
  <c r="BO15" i="20"/>
  <c r="BN16" i="20"/>
  <c r="BO16" i="20"/>
  <c r="BN17" i="20"/>
  <c r="BO17" i="20"/>
  <c r="BI6" i="20"/>
  <c r="BJ6" i="20"/>
  <c r="BL6" i="20" s="1"/>
  <c r="CH6" i="20" s="1"/>
  <c r="BJ7" i="20"/>
  <c r="BL7" i="20" s="1"/>
  <c r="BJ8" i="20"/>
  <c r="BL8" i="20" s="1"/>
  <c r="CH8" i="20" s="1"/>
  <c r="CX8" i="20" s="1"/>
  <c r="BJ9" i="20"/>
  <c r="BL9" i="20" s="1"/>
  <c r="BJ10" i="20"/>
  <c r="BL10" i="20" s="1"/>
  <c r="CH10" i="20" s="1"/>
  <c r="CX10" i="20" s="1"/>
  <c r="BJ11" i="20"/>
  <c r="BL11" i="20" s="1"/>
  <c r="BJ12" i="20"/>
  <c r="BL12" i="20" s="1"/>
  <c r="CH12" i="20" s="1"/>
  <c r="CX12" i="20" s="1"/>
  <c r="BJ13" i="20"/>
  <c r="BL13" i="20" s="1"/>
  <c r="CH13" i="20" s="1"/>
  <c r="CX13" i="20" s="1"/>
  <c r="BJ14" i="20"/>
  <c r="BL14" i="20" s="1"/>
  <c r="CH14" i="20" s="1"/>
  <c r="CX14" i="20" s="1"/>
  <c r="BJ15" i="20"/>
  <c r="BL15" i="20" s="1"/>
  <c r="BJ16" i="20"/>
  <c r="BL16" i="20" s="1"/>
  <c r="CH16" i="20" s="1"/>
  <c r="CX16" i="20" s="1"/>
  <c r="BJ17" i="20"/>
  <c r="BL17" i="20" s="1"/>
  <c r="CH17" i="20" s="1"/>
  <c r="CX17" i="20" s="1"/>
  <c r="BF6" i="20"/>
  <c r="BF7" i="20"/>
  <c r="BF8" i="20"/>
  <c r="BF9" i="20"/>
  <c r="BF10" i="20"/>
  <c r="BF11" i="20"/>
  <c r="BF12" i="20"/>
  <c r="BF13" i="20"/>
  <c r="BF14" i="20"/>
  <c r="BF15" i="20"/>
  <c r="BF16" i="20"/>
  <c r="BF17" i="20"/>
  <c r="BE7" i="20"/>
  <c r="BE8" i="20"/>
  <c r="BE9" i="20"/>
  <c r="BE10" i="20"/>
  <c r="BE11" i="20"/>
  <c r="BE12" i="20"/>
  <c r="BE13" i="20"/>
  <c r="BE14" i="20"/>
  <c r="BE15" i="20"/>
  <c r="BE16" i="20"/>
  <c r="BE17" i="20"/>
  <c r="BE6" i="20"/>
  <c r="BD6" i="20"/>
  <c r="AW6" i="20"/>
  <c r="AX6" i="20"/>
  <c r="AW7" i="20"/>
  <c r="AX7" i="20"/>
  <c r="AW8" i="20"/>
  <c r="AX8" i="20"/>
  <c r="AW9" i="20"/>
  <c r="AX9" i="20"/>
  <c r="AW10" i="20"/>
  <c r="AX10" i="20"/>
  <c r="AW11" i="20"/>
  <c r="AX11" i="20"/>
  <c r="AW12" i="20"/>
  <c r="AX12" i="20"/>
  <c r="AW13" i="20"/>
  <c r="AX13" i="20"/>
  <c r="AW14" i="20"/>
  <c r="AX14" i="20"/>
  <c r="AW15" i="20"/>
  <c r="AX15" i="20"/>
  <c r="AW16" i="20"/>
  <c r="AX16" i="20"/>
  <c r="AW17" i="20"/>
  <c r="AX17" i="20"/>
  <c r="AV6" i="20"/>
  <c r="AR6" i="20"/>
  <c r="AR7" i="20"/>
  <c r="AR8" i="20"/>
  <c r="AR9" i="20"/>
  <c r="AR10" i="20"/>
  <c r="AR11" i="20"/>
  <c r="AR12" i="20"/>
  <c r="AR13" i="20"/>
  <c r="AR14" i="20"/>
  <c r="AR15" i="20"/>
  <c r="AR16" i="20"/>
  <c r="AR17" i="20"/>
  <c r="AP7" i="20"/>
  <c r="AP8" i="20"/>
  <c r="AP9" i="20"/>
  <c r="AP10" i="20"/>
  <c r="AP11" i="20"/>
  <c r="AP12" i="20"/>
  <c r="AP13" i="20"/>
  <c r="AP14" i="20"/>
  <c r="AP15" i="20"/>
  <c r="AP16" i="20"/>
  <c r="AP17" i="20"/>
  <c r="S6" i="27"/>
  <c r="S7" i="27" s="1"/>
  <c r="S8" i="27" s="1"/>
  <c r="S9" i="27" s="1"/>
  <c r="S10" i="27" s="1"/>
  <c r="S11" i="27" s="1"/>
  <c r="S12" i="27" s="1"/>
  <c r="S13" i="27" s="1"/>
  <c r="S14" i="27" s="1"/>
  <c r="S15" i="27" s="1"/>
  <c r="S16" i="27" s="1"/>
  <c r="BI17" i="20" s="1"/>
  <c r="N6" i="27"/>
  <c r="N7" i="27" s="1"/>
  <c r="N8" i="27" s="1"/>
  <c r="N9" i="27" s="1"/>
  <c r="N10" i="27" s="1"/>
  <c r="N11" i="27" s="1"/>
  <c r="N12" i="27" s="1"/>
  <c r="N13" i="27" s="1"/>
  <c r="N14" i="27" s="1"/>
  <c r="N15" i="27" s="1"/>
  <c r="N16" i="27" s="1"/>
  <c r="BD17" i="20" s="1"/>
  <c r="AY7" i="20"/>
  <c r="CC7" i="20" s="1"/>
  <c r="AY8" i="20"/>
  <c r="CC8" i="20" s="1"/>
  <c r="AY9" i="20"/>
  <c r="CC9" i="20" s="1"/>
  <c r="AY10" i="20"/>
  <c r="CC10" i="20" s="1"/>
  <c r="AY11" i="20"/>
  <c r="CC11" i="20" s="1"/>
  <c r="AY12" i="20"/>
  <c r="CC12" i="20" s="1"/>
  <c r="AY13" i="20"/>
  <c r="CC13" i="20" s="1"/>
  <c r="AY14" i="20"/>
  <c r="CC14" i="20" s="1"/>
  <c r="AY15" i="20"/>
  <c r="CC15" i="20" s="1"/>
  <c r="AY16" i="20"/>
  <c r="CC16" i="20" s="1"/>
  <c r="AY17" i="20"/>
  <c r="CC17" i="20" s="1"/>
  <c r="AY6" i="20"/>
  <c r="H6" i="27"/>
  <c r="H7" i="27" s="1"/>
  <c r="H8" i="27" s="1"/>
  <c r="D28" i="27"/>
  <c r="D13" i="21" s="1"/>
  <c r="B12" i="30" s="1"/>
  <c r="D29" i="27"/>
  <c r="D14" i="21" s="1"/>
  <c r="D30" i="27"/>
  <c r="D15" i="21" s="1"/>
  <c r="D31" i="27"/>
  <c r="D16" i="21" s="1"/>
  <c r="AK9" i="20"/>
  <c r="AK10" i="20"/>
  <c r="I20" i="21"/>
  <c r="D34" i="19" s="1"/>
  <c r="AH5" i="20"/>
  <c r="AK5" i="20"/>
  <c r="AH6" i="20"/>
  <c r="AK6" i="20"/>
  <c r="AH7" i="20"/>
  <c r="AK7" i="20"/>
  <c r="AH8" i="20"/>
  <c r="AK8" i="20"/>
  <c r="AH9" i="20"/>
  <c r="AH10" i="20"/>
  <c r="AH11" i="20"/>
  <c r="AK11" i="20"/>
  <c r="AH12" i="20"/>
  <c r="AK12" i="20"/>
  <c r="AH13" i="20"/>
  <c r="AK13" i="20"/>
  <c r="AH14" i="20"/>
  <c r="AK14" i="20"/>
  <c r="AH15" i="20"/>
  <c r="AK15" i="20"/>
  <c r="AK4" i="20"/>
  <c r="AH4" i="20"/>
  <c r="AI3" i="20"/>
  <c r="AH3" i="20"/>
  <c r="G12" i="21"/>
  <c r="G13" i="21"/>
  <c r="G14" i="21"/>
  <c r="G15" i="21"/>
  <c r="G16" i="21"/>
  <c r="G11" i="21"/>
  <c r="C13" i="19"/>
  <c r="C16" i="19"/>
  <c r="V17" i="19" s="1"/>
  <c r="AD17" i="19" s="1"/>
  <c r="B14" i="19"/>
  <c r="U15" i="19" s="1"/>
  <c r="AC15" i="19" s="1"/>
  <c r="B15" i="19"/>
  <c r="B16" i="19"/>
  <c r="U17" i="19" s="1"/>
  <c r="AC17" i="19" s="1"/>
  <c r="B17" i="19"/>
  <c r="U18" i="19" s="1"/>
  <c r="AC18" i="19" s="1"/>
  <c r="B18" i="19"/>
  <c r="C29" i="19" s="1"/>
  <c r="B13" i="19"/>
  <c r="U14" i="19" s="1"/>
  <c r="B16" i="22"/>
  <c r="B15" i="22"/>
  <c r="F10" i="22" a="1"/>
  <c r="F10" i="22" s="1"/>
  <c r="B14" i="22"/>
  <c r="B13" i="22"/>
  <c r="B10" i="22"/>
  <c r="B11" i="22"/>
  <c r="B12" i="22"/>
  <c r="B9" i="22"/>
  <c r="X88" i="19"/>
  <c r="X89" i="19"/>
  <c r="X90" i="19"/>
  <c r="X91" i="19"/>
  <c r="X92" i="19"/>
  <c r="X93" i="19"/>
  <c r="D33" i="19"/>
  <c r="D32" i="19"/>
  <c r="EQ17" i="20" l="1"/>
  <c r="DO23" i="20"/>
  <c r="DP23" i="20" s="1"/>
  <c r="DZ23" i="20" s="1"/>
  <c r="DN23" i="20"/>
  <c r="DQ23" i="20" s="1"/>
  <c r="FH25" i="20"/>
  <c r="DT12" i="20"/>
  <c r="ED12" i="20" s="1"/>
  <c r="EN12" i="20" s="1"/>
  <c r="DZ12" i="20"/>
  <c r="AQ18" i="20"/>
  <c r="CC6" i="20"/>
  <c r="BU6" i="20"/>
  <c r="CJ10" i="20"/>
  <c r="CJ16" i="20"/>
  <c r="CJ8" i="20"/>
  <c r="CJ17" i="20"/>
  <c r="CJ12" i="20"/>
  <c r="CJ14" i="20"/>
  <c r="CJ13" i="20"/>
  <c r="EQ19" i="20"/>
  <c r="F13" i="24"/>
  <c r="AP19" i="20"/>
  <c r="R40" i="20" s="1"/>
  <c r="D35" i="19"/>
  <c r="DZ22" i="20"/>
  <c r="DT22" i="20"/>
  <c r="ED22" i="20" s="1"/>
  <c r="EN22" i="20" s="1"/>
  <c r="AQ19" i="20"/>
  <c r="Q40" i="20" s="1"/>
  <c r="DT18" i="20"/>
  <c r="ED18" i="20" s="1"/>
  <c r="EN18" i="20" s="1"/>
  <c r="DR13" i="20"/>
  <c r="EB13" i="20" s="1"/>
  <c r="EL13" i="20" s="1"/>
  <c r="Y20" i="22"/>
  <c r="DR18" i="20"/>
  <c r="EB18" i="20" s="1"/>
  <c r="EL18" i="20" s="1"/>
  <c r="DS18" i="20"/>
  <c r="EC18" i="20" s="1"/>
  <c r="EM18" i="20" s="1"/>
  <c r="DS22" i="20"/>
  <c r="EC22" i="20" s="1"/>
  <c r="EM22" i="20" s="1"/>
  <c r="DT13" i="20"/>
  <c r="ED13" i="20" s="1"/>
  <c r="EN13" i="20" s="1"/>
  <c r="DS13" i="20"/>
  <c r="EC13" i="20" s="1"/>
  <c r="EM13" i="20" s="1"/>
  <c r="Y10" i="22"/>
  <c r="DM8" i="20"/>
  <c r="Y5" i="22" s="1"/>
  <c r="E17" i="19"/>
  <c r="X18" i="19" s="1"/>
  <c r="AF18" i="19" s="1"/>
  <c r="C14" i="30"/>
  <c r="D17" i="19"/>
  <c r="W18" i="19" s="1"/>
  <c r="AE18" i="19" s="1"/>
  <c r="B14" i="30"/>
  <c r="E16" i="19"/>
  <c r="X17" i="19" s="1"/>
  <c r="AF17" i="19" s="1"/>
  <c r="C13" i="30"/>
  <c r="E13" i="19"/>
  <c r="X14" i="19" s="1"/>
  <c r="AF14" i="19" s="1"/>
  <c r="C10" i="30"/>
  <c r="D18" i="19"/>
  <c r="I24" i="19" s="1"/>
  <c r="K24" i="19" s="1"/>
  <c r="B15" i="30"/>
  <c r="D15" i="30" s="1"/>
  <c r="G15" i="30" s="1"/>
  <c r="E14" i="19"/>
  <c r="X15" i="19" s="1"/>
  <c r="AF15" i="19" s="1"/>
  <c r="C11" i="30"/>
  <c r="D11" i="30" s="1"/>
  <c r="G11" i="30" s="1"/>
  <c r="D16" i="19"/>
  <c r="W17" i="19" s="1"/>
  <c r="AE17" i="19" s="1"/>
  <c r="B13" i="30"/>
  <c r="D13" i="19"/>
  <c r="W14" i="19" s="1"/>
  <c r="AE14" i="19" s="1"/>
  <c r="B10" i="30"/>
  <c r="E15" i="19"/>
  <c r="X16" i="19" s="1"/>
  <c r="AF16" i="19" s="1"/>
  <c r="C12" i="30"/>
  <c r="D12" i="30" s="1"/>
  <c r="G12" i="30" s="1"/>
  <c r="G18" i="19"/>
  <c r="I28" i="19" s="1"/>
  <c r="K28" i="19" s="1"/>
  <c r="H15" i="30"/>
  <c r="G17" i="19"/>
  <c r="H14" i="30"/>
  <c r="G16" i="19"/>
  <c r="H13" i="30"/>
  <c r="G15" i="19"/>
  <c r="H12" i="30"/>
  <c r="G14" i="19"/>
  <c r="H11" i="30"/>
  <c r="G13" i="19"/>
  <c r="H10" i="30"/>
  <c r="B21" i="19" a="1"/>
  <c r="B21" i="19" s="1"/>
  <c r="I27" i="19" s="1"/>
  <c r="ER8" i="20"/>
  <c r="ES8" i="20" s="1"/>
  <c r="ET8" i="20" s="1"/>
  <c r="N7" i="26"/>
  <c r="DM7" i="20"/>
  <c r="Y4" i="22" s="1"/>
  <c r="N8" i="26"/>
  <c r="EQ18" i="20"/>
  <c r="V14" i="19"/>
  <c r="C22" i="19"/>
  <c r="C19" i="19" a="1"/>
  <c r="C19" i="19" s="1"/>
  <c r="B22" i="19"/>
  <c r="B19" i="19" a="1"/>
  <c r="B19" i="19" s="1"/>
  <c r="U16" i="19"/>
  <c r="AT11" i="20"/>
  <c r="AT10" i="20"/>
  <c r="AT15" i="20"/>
  <c r="AT7" i="20"/>
  <c r="DT19" i="20"/>
  <c r="ED19" i="20" s="1"/>
  <c r="EN19" i="20" s="1"/>
  <c r="DR19" i="20"/>
  <c r="EB19" i="20" s="1"/>
  <c r="EL19" i="20" s="1"/>
  <c r="EQ21" i="20"/>
  <c r="DZ19" i="20"/>
  <c r="AT14" i="20"/>
  <c r="AT13" i="20"/>
  <c r="AT17" i="20"/>
  <c r="AT9" i="20"/>
  <c r="AT6" i="20"/>
  <c r="AT12" i="20"/>
  <c r="AT16" i="20"/>
  <c r="AT8" i="20"/>
  <c r="DT17" i="20"/>
  <c r="ED17" i="20" s="1"/>
  <c r="EN17" i="20" s="1"/>
  <c r="DZ17" i="20"/>
  <c r="DS17" i="20"/>
  <c r="EC17" i="20" s="1"/>
  <c r="EM17" i="20" s="1"/>
  <c r="DS7" i="20"/>
  <c r="EC7" i="20" s="1"/>
  <c r="EM7" i="20" s="1"/>
  <c r="DR7" i="20"/>
  <c r="EB7" i="20" s="1"/>
  <c r="EL7" i="20" s="1"/>
  <c r="Y8" i="22"/>
  <c r="EQ11" i="20"/>
  <c r="Y12" i="22"/>
  <c r="EQ15" i="20"/>
  <c r="Y7" i="22"/>
  <c r="EQ10" i="20"/>
  <c r="ER6" i="20"/>
  <c r="ES6" i="20" s="1"/>
  <c r="ET6" i="20" s="1"/>
  <c r="DZ7" i="20"/>
  <c r="Y13" i="22"/>
  <c r="EQ16" i="20"/>
  <c r="Y17" i="22"/>
  <c r="EQ20" i="20"/>
  <c r="Y9" i="22"/>
  <c r="EQ12" i="20"/>
  <c r="Y6" i="22"/>
  <c r="EQ9" i="20"/>
  <c r="Y11" i="22"/>
  <c r="EQ14" i="20"/>
  <c r="Y19" i="22"/>
  <c r="EQ22" i="20"/>
  <c r="DR10" i="20"/>
  <c r="EB10" i="20" s="1"/>
  <c r="EL10" i="20" s="1"/>
  <c r="DS10" i="20"/>
  <c r="EC10" i="20" s="1"/>
  <c r="EM10" i="20" s="1"/>
  <c r="H9" i="27"/>
  <c r="H10" i="27" s="1"/>
  <c r="H11" i="27" s="1"/>
  <c r="H12" i="27" s="1"/>
  <c r="H13" i="27" s="1"/>
  <c r="H14" i="27" s="1"/>
  <c r="H15" i="27" s="1"/>
  <c r="H16" i="27" s="1"/>
  <c r="AV17" i="20" s="1"/>
  <c r="AW31" i="20" s="1"/>
  <c r="AY31" i="20" s="1"/>
  <c r="AX31" i="20" s="1"/>
  <c r="DS11" i="20"/>
  <c r="EC11" i="20" s="1"/>
  <c r="EM11" i="20" s="1"/>
  <c r="DZ10" i="20"/>
  <c r="E13" i="24"/>
  <c r="C17" i="24" s="1"/>
  <c r="AR18" i="20"/>
  <c r="AS17" i="20"/>
  <c r="DR11" i="20"/>
  <c r="EB11" i="20" s="1"/>
  <c r="EL11" i="20" s="1"/>
  <c r="DZ11" i="20"/>
  <c r="DT9" i="20"/>
  <c r="ED9" i="20" s="1"/>
  <c r="EN9" i="20" s="1"/>
  <c r="DZ9" i="20"/>
  <c r="DR9" i="20"/>
  <c r="EB9" i="20" s="1"/>
  <c r="EL9" i="20" s="1"/>
  <c r="AC14" i="19"/>
  <c r="CX6" i="20"/>
  <c r="BK40" i="20"/>
  <c r="G4" i="24"/>
  <c r="DT20" i="20"/>
  <c r="ED20" i="20" s="1"/>
  <c r="EN20" i="20" s="1"/>
  <c r="DZ20" i="20"/>
  <c r="DR20" i="20"/>
  <c r="EB20" i="20" s="1"/>
  <c r="EL20" i="20" s="1"/>
  <c r="BF18" i="20"/>
  <c r="J32" i="22" s="1"/>
  <c r="CI6" i="20"/>
  <c r="BK18" i="20"/>
  <c r="J47" i="22" s="1"/>
  <c r="BH40" i="20"/>
  <c r="AY19" i="20"/>
  <c r="BF41" i="20"/>
  <c r="BK41" i="20" s="1"/>
  <c r="H5" i="24"/>
  <c r="DT77" i="20"/>
  <c r="DU77" i="20" s="1"/>
  <c r="DT57" i="20"/>
  <c r="DU57" i="20" s="1"/>
  <c r="DT66" i="20"/>
  <c r="DU66" i="20" s="1"/>
  <c r="DT58" i="20"/>
  <c r="DU58" i="20" s="1"/>
  <c r="DT76" i="20"/>
  <c r="DU76" i="20" s="1"/>
  <c r="DT70" i="20"/>
  <c r="DU70" i="20" s="1"/>
  <c r="DT62" i="20"/>
  <c r="DU62" i="20" s="1"/>
  <c r="DT74" i="20"/>
  <c r="DU74" i="20" s="1"/>
  <c r="DT72" i="20"/>
  <c r="DU72" i="20" s="1"/>
  <c r="DT63" i="20"/>
  <c r="DU63" i="20" s="1"/>
  <c r="DT60" i="20"/>
  <c r="DU60" i="20" s="1"/>
  <c r="DT71" i="20"/>
  <c r="DU71" i="20" s="1"/>
  <c r="DT69" i="20"/>
  <c r="DU69" i="20" s="1"/>
  <c r="DT75" i="20"/>
  <c r="DU75" i="20" s="1"/>
  <c r="DT61" i="20"/>
  <c r="DU61" i="20" s="1"/>
  <c r="DT65" i="20"/>
  <c r="DU65" i="20" s="1"/>
  <c r="DT68" i="20"/>
  <c r="DU68" i="20" s="1"/>
  <c r="DT73" i="20"/>
  <c r="DU73" i="20" s="1"/>
  <c r="DT64" i="20"/>
  <c r="DU64" i="20" s="1"/>
  <c r="DT67" i="20"/>
  <c r="DU67" i="20" s="1"/>
  <c r="DT59" i="20"/>
  <c r="DU59" i="20" s="1"/>
  <c r="BG13" i="20"/>
  <c r="CE13" i="20" s="1"/>
  <c r="CW13" i="20" s="1"/>
  <c r="DU56" i="20"/>
  <c r="DZ8" i="20"/>
  <c r="DT8" i="20"/>
  <c r="ED8" i="20" s="1"/>
  <c r="EN8" i="20" s="1"/>
  <c r="DR8" i="20"/>
  <c r="EB8" i="20" s="1"/>
  <c r="EL8" i="20" s="1"/>
  <c r="DS8" i="20"/>
  <c r="EC8" i="20" s="1"/>
  <c r="EM8" i="20" s="1"/>
  <c r="CZ34" i="20"/>
  <c r="CZ30" i="20"/>
  <c r="CZ41" i="20"/>
  <c r="CZ35" i="20"/>
  <c r="CZ31" i="20"/>
  <c r="CZ29" i="20"/>
  <c r="CZ51" i="20"/>
  <c r="CZ44" i="20"/>
  <c r="CZ36" i="20"/>
  <c r="CZ33" i="20"/>
  <c r="CZ43" i="20"/>
  <c r="CZ40" i="20"/>
  <c r="CZ42" i="20"/>
  <c r="CZ46" i="20"/>
  <c r="CZ49" i="20"/>
  <c r="CZ37" i="20"/>
  <c r="CZ32" i="20"/>
  <c r="CZ48" i="20"/>
  <c r="CZ39" i="20"/>
  <c r="CZ45" i="20"/>
  <c r="CZ38" i="20"/>
  <c r="CZ47" i="20"/>
  <c r="D13" i="24"/>
  <c r="C13" i="24"/>
  <c r="D17" i="24" s="1"/>
  <c r="CP18" i="20"/>
  <c r="AG4" i="20"/>
  <c r="A20" i="27"/>
  <c r="B13" i="24"/>
  <c r="B17" i="24" s="1"/>
  <c r="BI14" i="20"/>
  <c r="BD15" i="20"/>
  <c r="BD16" i="20"/>
  <c r="BD14" i="20"/>
  <c r="BD8" i="20"/>
  <c r="BD7" i="20"/>
  <c r="BI10" i="20"/>
  <c r="BU10" i="20"/>
  <c r="BZ17" i="20"/>
  <c r="BU17" i="20"/>
  <c r="BZ9" i="20"/>
  <c r="BU9" i="20"/>
  <c r="BU16" i="20"/>
  <c r="BZ8" i="20"/>
  <c r="BU8" i="20"/>
  <c r="BZ15" i="20"/>
  <c r="BU15" i="20"/>
  <c r="BZ7" i="20"/>
  <c r="BU7" i="20"/>
  <c r="BD13" i="20"/>
  <c r="BI13" i="20"/>
  <c r="BI9" i="20"/>
  <c r="BZ14" i="20"/>
  <c r="BU14" i="20"/>
  <c r="BD12" i="20"/>
  <c r="BZ13" i="20"/>
  <c r="BU13" i="20"/>
  <c r="BD11" i="20"/>
  <c r="BI16" i="20"/>
  <c r="BI12" i="20"/>
  <c r="BI8" i="20"/>
  <c r="BZ12" i="20"/>
  <c r="BU12" i="20"/>
  <c r="BD10" i="20"/>
  <c r="BZ11" i="20"/>
  <c r="BU11" i="20"/>
  <c r="BD9" i="20"/>
  <c r="BI15" i="20"/>
  <c r="BI11" i="20"/>
  <c r="BI7" i="20"/>
  <c r="A7" i="24"/>
  <c r="A6" i="24"/>
  <c r="A5" i="24"/>
  <c r="BG42" i="20"/>
  <c r="DZ6" i="20"/>
  <c r="EB6" i="20"/>
  <c r="EL6" i="20" s="1"/>
  <c r="DT6" i="20"/>
  <c r="ED6" i="20" s="1"/>
  <c r="EN6" i="20" s="1"/>
  <c r="DS6" i="20"/>
  <c r="EC6" i="20" s="1"/>
  <c r="EM6" i="20" s="1"/>
  <c r="BG9" i="20"/>
  <c r="CE9" i="20" s="1"/>
  <c r="CW9" i="20" s="1"/>
  <c r="BG11" i="20"/>
  <c r="CE11" i="20" s="1"/>
  <c r="CW11" i="20" s="1"/>
  <c r="BG6" i="20"/>
  <c r="CE6" i="20" s="1"/>
  <c r="BG10" i="20"/>
  <c r="CE10" i="20" s="1"/>
  <c r="CW10" i="20" s="1"/>
  <c r="A12" i="24"/>
  <c r="A4" i="24"/>
  <c r="A11" i="24"/>
  <c r="A3" i="24"/>
  <c r="A10" i="24"/>
  <c r="A2" i="24"/>
  <c r="A9" i="24"/>
  <c r="A8" i="24"/>
  <c r="BG16" i="20"/>
  <c r="CE16" i="20" s="1"/>
  <c r="CW16" i="20" s="1"/>
  <c r="BG8" i="20"/>
  <c r="CE8" i="20" s="1"/>
  <c r="CW8" i="20" s="1"/>
  <c r="BG15" i="20"/>
  <c r="CE15" i="20" s="1"/>
  <c r="CW15" i="20" s="1"/>
  <c r="BG7" i="20"/>
  <c r="CE7" i="20" s="1"/>
  <c r="CW7" i="20" s="1"/>
  <c r="BG14" i="20"/>
  <c r="CE14" i="20" s="1"/>
  <c r="CW14" i="20" s="1"/>
  <c r="AX28" i="20"/>
  <c r="AP18" i="20"/>
  <c r="CF17" i="20"/>
  <c r="CF16" i="20"/>
  <c r="AJ4" i="20"/>
  <c r="AL4" i="20" s="1"/>
  <c r="AS15" i="20"/>
  <c r="AS7" i="20"/>
  <c r="BZ10" i="20"/>
  <c r="BG12" i="20"/>
  <c r="CE12" i="20" s="1"/>
  <c r="CW12" i="20" s="1"/>
  <c r="CF15" i="20"/>
  <c r="CF7" i="20"/>
  <c r="AW18" i="20"/>
  <c r="CF11" i="20"/>
  <c r="CF10" i="20"/>
  <c r="CF9" i="20"/>
  <c r="CF8" i="20"/>
  <c r="CF14" i="20"/>
  <c r="CF6" i="20"/>
  <c r="CG6" i="20" s="1"/>
  <c r="BZ6" i="20"/>
  <c r="BZ16" i="20"/>
  <c r="CF13" i="20"/>
  <c r="BG17" i="20"/>
  <c r="CF12" i="20"/>
  <c r="CH9" i="20"/>
  <c r="CX9" i="20" s="1"/>
  <c r="CH15" i="20"/>
  <c r="CX15" i="20" s="1"/>
  <c r="CH11" i="20"/>
  <c r="CX11" i="20" s="1"/>
  <c r="CH7" i="20"/>
  <c r="CJ7" i="20" s="1"/>
  <c r="BL18" i="20"/>
  <c r="BI18" i="20" s="1"/>
  <c r="AS11" i="20"/>
  <c r="AS13" i="20"/>
  <c r="AS9" i="20"/>
  <c r="AS10" i="20"/>
  <c r="AS14" i="20"/>
  <c r="AS16" i="20"/>
  <c r="AS8" i="20"/>
  <c r="AS12" i="20"/>
  <c r="A12" i="27"/>
  <c r="A9" i="27"/>
  <c r="A24" i="27" s="1"/>
  <c r="A11" i="27"/>
  <c r="A6" i="27"/>
  <c r="A21" i="27" s="1"/>
  <c r="A13" i="27"/>
  <c r="A10" i="27"/>
  <c r="A25" i="27" s="1"/>
  <c r="M5" i="27"/>
  <c r="R5" i="27" s="1"/>
  <c r="BH6" i="20" s="1"/>
  <c r="BR6" i="20" s="1"/>
  <c r="AO6" i="20"/>
  <c r="BC37" i="20" s="1"/>
  <c r="A8" i="27"/>
  <c r="A23" i="27" s="1"/>
  <c r="A15" i="27"/>
  <c r="A7" i="27"/>
  <c r="A14" i="27"/>
  <c r="AY18" i="20"/>
  <c r="J15" i="22" s="1"/>
  <c r="AS6" i="20"/>
  <c r="AV8" i="20"/>
  <c r="AV9" i="20"/>
  <c r="AV7" i="20"/>
  <c r="AJ6" i="20"/>
  <c r="AL6" i="20" s="1"/>
  <c r="AJ5" i="20"/>
  <c r="AL5" i="20" s="1"/>
  <c r="AJ13" i="20"/>
  <c r="AL13" i="20" s="1"/>
  <c r="AJ12" i="20"/>
  <c r="AL12" i="20" s="1"/>
  <c r="AJ9" i="20"/>
  <c r="AL9" i="20" s="1"/>
  <c r="AJ14" i="20"/>
  <c r="AL14" i="20" s="1"/>
  <c r="F16" i="21"/>
  <c r="F18" i="19" s="1"/>
  <c r="R5" i="19" s="1"/>
  <c r="F13" i="21"/>
  <c r="F15" i="19" s="1"/>
  <c r="Y16" i="19" s="1"/>
  <c r="AG16" i="19" s="1"/>
  <c r="AJ8" i="20"/>
  <c r="AL8" i="20" s="1"/>
  <c r="AJ15" i="20"/>
  <c r="AL15" i="20" s="1"/>
  <c r="AJ10" i="20"/>
  <c r="AL10" i="20" s="1"/>
  <c r="AJ7" i="20"/>
  <c r="AL7" i="20" s="1"/>
  <c r="AJ11" i="20"/>
  <c r="AL11" i="20" s="1"/>
  <c r="F12" i="21"/>
  <c r="F14" i="19" s="1"/>
  <c r="Y15" i="19" s="1"/>
  <c r="AG15" i="19" s="1"/>
  <c r="F11" i="21"/>
  <c r="F13" i="19" s="1"/>
  <c r="Y14" i="19" s="1"/>
  <c r="F14" i="21"/>
  <c r="F16" i="19" s="1"/>
  <c r="Y17" i="19" s="1"/>
  <c r="AG17" i="19" s="1"/>
  <c r="D14" i="19"/>
  <c r="W15" i="19" s="1"/>
  <c r="AE15" i="19" s="1"/>
  <c r="F15" i="21"/>
  <c r="H15" i="21" s="1"/>
  <c r="H17" i="19" s="1"/>
  <c r="E18" i="19"/>
  <c r="C25" i="19" s="1"/>
  <c r="E25" i="19" s="1"/>
  <c r="D15" i="19"/>
  <c r="W16" i="19" s="1"/>
  <c r="AE16" i="19" s="1"/>
  <c r="E29" i="19"/>
  <c r="U19" i="19"/>
  <c r="AC19" i="19" s="1"/>
  <c r="C20" i="19" a="1"/>
  <c r="C20" i="19" s="1"/>
  <c r="O25" i="19" s="1"/>
  <c r="V19" i="19"/>
  <c r="AD19" i="19" s="1"/>
  <c r="DO24" i="20" l="1"/>
  <c r="DP24" i="20" s="1"/>
  <c r="DN24" i="20"/>
  <c r="DQ24" i="20" s="1"/>
  <c r="ER24" i="20"/>
  <c r="ES24" i="20" s="1"/>
  <c r="ET24" i="20" s="1"/>
  <c r="DM24" i="20"/>
  <c r="FH26" i="20"/>
  <c r="DT23" i="20"/>
  <c r="ED23" i="20" s="1"/>
  <c r="EN23" i="20" s="1"/>
  <c r="DS23" i="20"/>
  <c r="EC23" i="20" s="1"/>
  <c r="EM23" i="20" s="1"/>
  <c r="DR23" i="20"/>
  <c r="EB23" i="20" s="1"/>
  <c r="EL23" i="20" s="1"/>
  <c r="CG9" i="20"/>
  <c r="C27" i="19"/>
  <c r="W19" i="19"/>
  <c r="AE19" i="19" s="1"/>
  <c r="C24" i="19"/>
  <c r="E24" i="19" s="1"/>
  <c r="AT18" i="20"/>
  <c r="AT19" i="20"/>
  <c r="CG7" i="20"/>
  <c r="CJ9" i="20"/>
  <c r="CG8" i="20"/>
  <c r="CG12" i="20"/>
  <c r="CG13" i="20"/>
  <c r="CG11" i="20"/>
  <c r="CG16" i="20"/>
  <c r="CJ15" i="20"/>
  <c r="CG14" i="20"/>
  <c r="CI18" i="20"/>
  <c r="CJ6" i="20"/>
  <c r="CJ11" i="20"/>
  <c r="CG15" i="20"/>
  <c r="CG10" i="20"/>
  <c r="D13" i="30"/>
  <c r="G13" i="30" s="1"/>
  <c r="F13" i="30" s="1"/>
  <c r="Q32" i="20"/>
  <c r="Q24" i="20"/>
  <c r="Q27" i="20"/>
  <c r="C5" i="41"/>
  <c r="C7" i="41" s="1"/>
  <c r="Q30" i="20"/>
  <c r="Q25" i="20"/>
  <c r="Q31" i="20"/>
  <c r="Q26" i="20"/>
  <c r="Q28" i="20"/>
  <c r="Q29" i="20"/>
  <c r="H16" i="21"/>
  <c r="H18" i="19" s="1"/>
  <c r="J18" i="19" s="1"/>
  <c r="I18" i="19" s="1"/>
  <c r="H11" i="21"/>
  <c r="H13" i="19" s="1"/>
  <c r="J13" i="19" s="1"/>
  <c r="I13" i="19" s="1"/>
  <c r="B9" i="38"/>
  <c r="C18" i="40" s="1"/>
  <c r="I18" i="40" s="1"/>
  <c r="AL30" i="22" s="1"/>
  <c r="B9" i="39"/>
  <c r="C19" i="40" s="1"/>
  <c r="I19" i="40" s="1"/>
  <c r="AL31" i="22" s="1"/>
  <c r="B9" i="37"/>
  <c r="C17" i="40" s="1"/>
  <c r="I17" i="40" s="1"/>
  <c r="AL29" i="22" s="1"/>
  <c r="EQ8" i="20"/>
  <c r="H14" i="21"/>
  <c r="H16" i="19" s="1"/>
  <c r="J16" i="19" s="1"/>
  <c r="I16" i="19" s="1"/>
  <c r="H12" i="21"/>
  <c r="H14" i="19" s="1"/>
  <c r="J14" i="19" s="1"/>
  <c r="I14" i="19" s="1"/>
  <c r="D10" i="30"/>
  <c r="G10" i="30" s="1"/>
  <c r="F10" i="30" s="1"/>
  <c r="D14" i="30"/>
  <c r="G14" i="30" s="1"/>
  <c r="F14" i="30" s="1"/>
  <c r="H13" i="21"/>
  <c r="H15" i="19" s="1"/>
  <c r="J15" i="19" s="1"/>
  <c r="I15" i="19" s="1"/>
  <c r="J28" i="19"/>
  <c r="O27" i="19"/>
  <c r="P27" i="19" s="1"/>
  <c r="C28" i="19"/>
  <c r="D28" i="19" s="1"/>
  <c r="I10" i="30"/>
  <c r="F15" i="30"/>
  <c r="I15" i="30"/>
  <c r="I13" i="30"/>
  <c r="I11" i="30"/>
  <c r="F11" i="30"/>
  <c r="I14" i="30"/>
  <c r="I12" i="30"/>
  <c r="F12" i="30"/>
  <c r="EQ7" i="20"/>
  <c r="AG14" i="19"/>
  <c r="O26" i="19"/>
  <c r="R26" i="20" s="1"/>
  <c r="R29" i="20" s="1"/>
  <c r="U20" i="19"/>
  <c r="AD14" i="19"/>
  <c r="AD21" i="19" s="1"/>
  <c r="V22" i="19"/>
  <c r="AC16" i="19"/>
  <c r="U22" i="19"/>
  <c r="CZ54" i="20"/>
  <c r="DC54" i="20" s="1"/>
  <c r="CZ52" i="20"/>
  <c r="CZ53" i="20" s="1"/>
  <c r="Y3" i="22"/>
  <c r="EQ6" i="20"/>
  <c r="AZ6" i="20"/>
  <c r="BT6" i="20" s="1"/>
  <c r="AZ8" i="20"/>
  <c r="CB8" i="20" s="1"/>
  <c r="AZ16" i="20"/>
  <c r="CB16" i="20" s="1"/>
  <c r="CD16" i="20" s="1"/>
  <c r="AZ13" i="20"/>
  <c r="CB13" i="20" s="1"/>
  <c r="AZ9" i="20"/>
  <c r="CB9" i="20" s="1"/>
  <c r="AZ17" i="20"/>
  <c r="CB17" i="20" s="1"/>
  <c r="CD17" i="20" s="1"/>
  <c r="AZ14" i="20"/>
  <c r="CB14" i="20" s="1"/>
  <c r="CD14" i="20" s="1"/>
  <c r="AZ10" i="20"/>
  <c r="CB10" i="20" s="1"/>
  <c r="CD10" i="20" s="1"/>
  <c r="AZ7" i="20"/>
  <c r="CB7" i="20" s="1"/>
  <c r="AZ11" i="20"/>
  <c r="CB11" i="20" s="1"/>
  <c r="AZ12" i="20"/>
  <c r="CB12" i="20" s="1"/>
  <c r="CV12" i="20" s="1"/>
  <c r="AZ15" i="20"/>
  <c r="CB15" i="20" s="1"/>
  <c r="AV16" i="20"/>
  <c r="AV11" i="20"/>
  <c r="AV12" i="20"/>
  <c r="AV14" i="20"/>
  <c r="AV13" i="20"/>
  <c r="AV15" i="20"/>
  <c r="AV10" i="20"/>
  <c r="D36" i="19"/>
  <c r="C18" i="24"/>
  <c r="AS19" i="20"/>
  <c r="AC24" i="19"/>
  <c r="AC28" i="19"/>
  <c r="CC19" i="20"/>
  <c r="CF19" i="20"/>
  <c r="CW6" i="20"/>
  <c r="CN6" i="20"/>
  <c r="CS6" i="20" s="1"/>
  <c r="BZ19" i="20"/>
  <c r="BD37" i="20"/>
  <c r="AS18" i="20"/>
  <c r="AC40" i="19"/>
  <c r="AC26" i="19" s="1"/>
  <c r="CI19" i="20"/>
  <c r="CM19" i="20"/>
  <c r="CH19" i="20"/>
  <c r="BY16" i="20"/>
  <c r="CU16" i="20" s="1"/>
  <c r="BD47" i="20"/>
  <c r="BY15" i="20"/>
  <c r="CU15" i="20" s="1"/>
  <c r="BD46" i="20"/>
  <c r="BY8" i="20"/>
  <c r="CU8" i="20" s="1"/>
  <c r="BD39" i="20"/>
  <c r="BI39" i="20" s="1"/>
  <c r="BY10" i="20"/>
  <c r="CU10" i="20" s="1"/>
  <c r="BD41" i="20"/>
  <c r="BH41" i="20"/>
  <c r="BY9" i="20"/>
  <c r="CU9" i="20" s="1"/>
  <c r="BD40" i="20"/>
  <c r="BI40" i="20" s="1"/>
  <c r="BY7" i="20"/>
  <c r="CU7" i="20" s="1"/>
  <c r="BD38" i="20"/>
  <c r="BI38" i="20" s="1"/>
  <c r="BY14" i="20"/>
  <c r="CU14" i="20" s="1"/>
  <c r="BD45" i="20"/>
  <c r="BY17" i="20"/>
  <c r="CU17" i="20" s="1"/>
  <c r="BD48" i="20"/>
  <c r="BY13" i="20"/>
  <c r="CU13" i="20" s="1"/>
  <c r="BD44" i="20"/>
  <c r="BY12" i="20"/>
  <c r="CU12" i="20" s="1"/>
  <c r="BD43" i="20"/>
  <c r="BY11" i="20"/>
  <c r="CU11" i="20" s="1"/>
  <c r="BD42" i="20"/>
  <c r="BF42" i="20"/>
  <c r="BK42" i="20" s="1"/>
  <c r="H6" i="24"/>
  <c r="G7" i="27"/>
  <c r="M7" i="27" s="1"/>
  <c r="R7" i="27" s="1"/>
  <c r="BM8" i="20" s="1"/>
  <c r="A22" i="27"/>
  <c r="D18" i="24"/>
  <c r="BU18" i="20"/>
  <c r="BG43" i="20"/>
  <c r="G5" i="24"/>
  <c r="CN15" i="20"/>
  <c r="CS15" i="20" s="1"/>
  <c r="CN8" i="20"/>
  <c r="CN7" i="20"/>
  <c r="CN13" i="20"/>
  <c r="CN9" i="20"/>
  <c r="CN14" i="20"/>
  <c r="CS14" i="20" s="1"/>
  <c r="CN17" i="20"/>
  <c r="BJ18" i="20"/>
  <c r="CN12" i="20"/>
  <c r="CS12" i="20" s="1"/>
  <c r="BG18" i="20"/>
  <c r="CN11" i="20"/>
  <c r="CS11" i="20" s="1"/>
  <c r="BZ18" i="20"/>
  <c r="CN10" i="20"/>
  <c r="CT10" i="20" s="1"/>
  <c r="CH18" i="20"/>
  <c r="CX7" i="20"/>
  <c r="CX18" i="20" s="1"/>
  <c r="CN16" i="20"/>
  <c r="CC18" i="20"/>
  <c r="CE17" i="20"/>
  <c r="CW17" i="20" s="1"/>
  <c r="CF18" i="20"/>
  <c r="BY6" i="20"/>
  <c r="CU6" i="20" s="1"/>
  <c r="R4" i="19"/>
  <c r="O24" i="19"/>
  <c r="Q24" i="19" s="1"/>
  <c r="AU6" i="20"/>
  <c r="BC6" i="20"/>
  <c r="BM6" i="20"/>
  <c r="AO9" i="20"/>
  <c r="BC40" i="20" s="1"/>
  <c r="AO7" i="20"/>
  <c r="BC38" i="20" s="1"/>
  <c r="AG5" i="20"/>
  <c r="AG6" i="20"/>
  <c r="G6" i="27"/>
  <c r="M6" i="27" s="1"/>
  <c r="AO8" i="20"/>
  <c r="BC39" i="20" s="1"/>
  <c r="G8" i="27"/>
  <c r="R6" i="19"/>
  <c r="Y19" i="19"/>
  <c r="AG19" i="19" s="1"/>
  <c r="AG7" i="20"/>
  <c r="F17" i="19"/>
  <c r="X19" i="19"/>
  <c r="AF19" i="19" s="1"/>
  <c r="AC29" i="19" s="1"/>
  <c r="I25" i="19"/>
  <c r="K25" i="19" s="1"/>
  <c r="AC41" i="19"/>
  <c r="D24" i="19"/>
  <c r="C26" i="19"/>
  <c r="E26" i="19" s="1"/>
  <c r="X24" i="19"/>
  <c r="J24" i="19"/>
  <c r="V20" i="19"/>
  <c r="V21" i="19" s="1"/>
  <c r="C21" i="19" a="1"/>
  <c r="C21" i="19" s="1"/>
  <c r="W20" i="19"/>
  <c r="Y26" i="19" s="1"/>
  <c r="D29" i="19"/>
  <c r="X26" i="19"/>
  <c r="I26" i="19"/>
  <c r="D25" i="19"/>
  <c r="DN25" i="20" l="1"/>
  <c r="DQ25" i="20" s="1"/>
  <c r="DO25" i="20"/>
  <c r="DP25" i="20" s="1"/>
  <c r="DM25" i="20"/>
  <c r="ER25" i="20"/>
  <c r="ES25" i="20" s="1"/>
  <c r="ET25" i="20" s="1"/>
  <c r="EU25" i="20" s="1"/>
  <c r="AA22" i="22" s="1"/>
  <c r="FH27" i="20"/>
  <c r="Y21" i="22"/>
  <c r="EQ24" i="20"/>
  <c r="DT24" i="20"/>
  <c r="ED24" i="20" s="1"/>
  <c r="EN24" i="20" s="1"/>
  <c r="DZ24" i="20"/>
  <c r="DS24" i="20"/>
  <c r="EC24" i="20" s="1"/>
  <c r="EM24" i="20" s="1"/>
  <c r="DR24" i="20"/>
  <c r="EB24" i="20" s="1"/>
  <c r="EL24" i="20" s="1"/>
  <c r="Q35" i="20"/>
  <c r="B13" i="39"/>
  <c r="B13" i="37"/>
  <c r="G6" i="41"/>
  <c r="B13" i="38"/>
  <c r="FA6" i="20"/>
  <c r="CA9" i="20"/>
  <c r="CG17" i="20"/>
  <c r="CG19" i="20" s="1"/>
  <c r="CA7" i="20"/>
  <c r="CA13" i="20"/>
  <c r="CV15" i="20"/>
  <c r="CY15" i="20" s="1"/>
  <c r="CD15" i="20"/>
  <c r="DB13" i="20"/>
  <c r="CD13" i="20"/>
  <c r="CY12" i="20"/>
  <c r="CZ12" i="20" s="1"/>
  <c r="CD12" i="20"/>
  <c r="CA6" i="20"/>
  <c r="CA11" i="20"/>
  <c r="CA12" i="20"/>
  <c r="CA10" i="20"/>
  <c r="CO10" i="20" s="1"/>
  <c r="CV11" i="20"/>
  <c r="CY11" i="20" s="1"/>
  <c r="CZ11" i="20" s="1"/>
  <c r="CD11" i="20"/>
  <c r="CV8" i="20"/>
  <c r="CY8" i="20" s="1"/>
  <c r="CZ8" i="20" s="1"/>
  <c r="CD8" i="20"/>
  <c r="CL7" i="20"/>
  <c r="CM7" i="20" s="1"/>
  <c r="CD7" i="20"/>
  <c r="CA14" i="20"/>
  <c r="CA17" i="20"/>
  <c r="FA26" i="20"/>
  <c r="FA23" i="20"/>
  <c r="FA12" i="20"/>
  <c r="FA19" i="20"/>
  <c r="FB9" i="20"/>
  <c r="FB23" i="20"/>
  <c r="FB19" i="20"/>
  <c r="FB21" i="20"/>
  <c r="FC21" i="20" s="1"/>
  <c r="FD21" i="20" s="1"/>
  <c r="AB18" i="22" s="1"/>
  <c r="FA22" i="20"/>
  <c r="FA21" i="20"/>
  <c r="FB15" i="20"/>
  <c r="FB17" i="20"/>
  <c r="FB11" i="20"/>
  <c r="FB22" i="20"/>
  <c r="FB8" i="20"/>
  <c r="FA9" i="20"/>
  <c r="FA15" i="20"/>
  <c r="FA13" i="20"/>
  <c r="FA28" i="20"/>
  <c r="FB6" i="20"/>
  <c r="FA7" i="20"/>
  <c r="FA14" i="20"/>
  <c r="FA10" i="20"/>
  <c r="FB18" i="20"/>
  <c r="FB25" i="20"/>
  <c r="FA11" i="20"/>
  <c r="FB13" i="20"/>
  <c r="FB28" i="20"/>
  <c r="FB7" i="20"/>
  <c r="FB14" i="20"/>
  <c r="FB10" i="20"/>
  <c r="FA18" i="20"/>
  <c r="FA20" i="20"/>
  <c r="FA27" i="20"/>
  <c r="FA25" i="20"/>
  <c r="FA24" i="20"/>
  <c r="FB20" i="20"/>
  <c r="FC20" i="20" s="1"/>
  <c r="FD20" i="20" s="1"/>
  <c r="AB17" i="22" s="1"/>
  <c r="FB27" i="20"/>
  <c r="FB24" i="20"/>
  <c r="FA16" i="20"/>
  <c r="FB26" i="20"/>
  <c r="FB12" i="20"/>
  <c r="FB16" i="20"/>
  <c r="FA17" i="20"/>
  <c r="FA8" i="20"/>
  <c r="CA8" i="20"/>
  <c r="DB9" i="20"/>
  <c r="CD9" i="20"/>
  <c r="CA15" i="20"/>
  <c r="CA16" i="20"/>
  <c r="CO16" i="20" s="1"/>
  <c r="AC30" i="19"/>
  <c r="AC35" i="19" s="1"/>
  <c r="AC36" i="19" s="1"/>
  <c r="R30" i="20"/>
  <c r="D27" i="19"/>
  <c r="R24" i="20"/>
  <c r="R27" i="20" s="1"/>
  <c r="J19" i="40"/>
  <c r="AM31" i="22" s="1"/>
  <c r="H19" i="40"/>
  <c r="AK31" i="22" s="1"/>
  <c r="H18" i="40"/>
  <c r="AK30" i="22" s="1"/>
  <c r="J18" i="40"/>
  <c r="AM30" i="22" s="1"/>
  <c r="H17" i="40"/>
  <c r="AK29" i="22" s="1"/>
  <c r="J17" i="40"/>
  <c r="AM29" i="22" s="1"/>
  <c r="B11" i="39"/>
  <c r="B11" i="37"/>
  <c r="B11" i="38"/>
  <c r="E28" i="19"/>
  <c r="AD20" i="19"/>
  <c r="Q27" i="19"/>
  <c r="AC21" i="19"/>
  <c r="K10" i="30"/>
  <c r="Q10" i="30" s="1"/>
  <c r="L10" i="30"/>
  <c r="R10" i="30" s="1"/>
  <c r="I16" i="30"/>
  <c r="I18" i="30" s="1"/>
  <c r="K11" i="30"/>
  <c r="Q11" i="30" s="1"/>
  <c r="L11" i="30"/>
  <c r="R11" i="30" s="1"/>
  <c r="L14" i="30"/>
  <c r="R14" i="30" s="1"/>
  <c r="K14" i="30"/>
  <c r="Q14" i="30" s="1"/>
  <c r="L13" i="30"/>
  <c r="R13" i="30" s="1"/>
  <c r="K13" i="30"/>
  <c r="Q13" i="30" s="1"/>
  <c r="K12" i="30"/>
  <c r="Q12" i="30" s="1"/>
  <c r="L12" i="30"/>
  <c r="R12" i="30" s="1"/>
  <c r="K15" i="30"/>
  <c r="Q15" i="30" s="1"/>
  <c r="L15" i="30"/>
  <c r="R15" i="30" s="1"/>
  <c r="AC20" i="19"/>
  <c r="U21" i="19"/>
  <c r="AC22" i="19"/>
  <c r="AQ2" i="24"/>
  <c r="AQ3" i="24"/>
  <c r="AR3" i="24" s="1"/>
  <c r="AH32" i="22" s="1"/>
  <c r="AQ11" i="24"/>
  <c r="AR11" i="24" s="1"/>
  <c r="AH40" i="22" s="1"/>
  <c r="AQ19" i="24"/>
  <c r="AR19" i="24" s="1"/>
  <c r="AH48" i="22" s="1"/>
  <c r="AQ4" i="24"/>
  <c r="AR4" i="24" s="1"/>
  <c r="AH33" i="22" s="1"/>
  <c r="AQ12" i="24"/>
  <c r="AR12" i="24" s="1"/>
  <c r="AH41" i="22" s="1"/>
  <c r="AQ20" i="24"/>
  <c r="AR20" i="24" s="1"/>
  <c r="AH49" i="22" s="1"/>
  <c r="AQ16" i="24"/>
  <c r="AR16" i="24" s="1"/>
  <c r="AH45" i="22" s="1"/>
  <c r="AQ17" i="24"/>
  <c r="AR17" i="24" s="1"/>
  <c r="AH46" i="22" s="1"/>
  <c r="AQ10" i="24"/>
  <c r="AR10" i="24" s="1"/>
  <c r="AH39" i="22" s="1"/>
  <c r="AQ5" i="24"/>
  <c r="AR5" i="24" s="1"/>
  <c r="AH34" i="22" s="1"/>
  <c r="AQ13" i="24"/>
  <c r="AR13" i="24" s="1"/>
  <c r="AH42" i="22" s="1"/>
  <c r="AQ21" i="24"/>
  <c r="AR21" i="24" s="1"/>
  <c r="AH50" i="22" s="1"/>
  <c r="AQ6" i="24"/>
  <c r="AR6" i="24" s="1"/>
  <c r="AH35" i="22" s="1"/>
  <c r="AQ14" i="24"/>
  <c r="AR14" i="24" s="1"/>
  <c r="AH43" i="22" s="1"/>
  <c r="AQ7" i="24"/>
  <c r="AR7" i="24" s="1"/>
  <c r="AH36" i="22" s="1"/>
  <c r="AQ15" i="24"/>
  <c r="AR15" i="24" s="1"/>
  <c r="AH44" i="22" s="1"/>
  <c r="AQ8" i="24"/>
  <c r="AR8" i="24" s="1"/>
  <c r="AH37" i="22" s="1"/>
  <c r="AQ9" i="24"/>
  <c r="AR9" i="24" s="1"/>
  <c r="AH38" i="22" s="1"/>
  <c r="AQ18" i="24"/>
  <c r="AR18" i="24" s="1"/>
  <c r="AH47" i="22" s="1"/>
  <c r="BI37" i="20"/>
  <c r="BD51" i="20"/>
  <c r="BD49" i="20"/>
  <c r="EU13" i="20"/>
  <c r="AA10" i="22" s="1"/>
  <c r="EU21" i="20"/>
  <c r="AA18" i="22" s="1"/>
  <c r="EU17" i="20"/>
  <c r="AA14" i="22" s="1"/>
  <c r="EU15" i="20"/>
  <c r="AA12" i="22" s="1"/>
  <c r="EU19" i="20"/>
  <c r="AA16" i="22" s="1"/>
  <c r="EU18" i="20"/>
  <c r="AA15" i="22" s="1"/>
  <c r="EU23" i="20"/>
  <c r="AA20" i="22" s="1"/>
  <c r="EU24" i="20"/>
  <c r="AA21" i="22" s="1"/>
  <c r="EU12" i="20"/>
  <c r="AA9" i="22" s="1"/>
  <c r="EU14" i="20"/>
  <c r="AA11" i="22" s="1"/>
  <c r="EU8" i="20"/>
  <c r="AA5" i="22" s="1"/>
  <c r="EU22" i="20"/>
  <c r="AA19" i="22" s="1"/>
  <c r="EU11" i="20"/>
  <c r="AA8" i="22" s="1"/>
  <c r="EU7" i="20"/>
  <c r="AA4" i="22" s="1"/>
  <c r="EU10" i="20"/>
  <c r="AA7" i="22" s="1"/>
  <c r="EU16" i="20"/>
  <c r="AA13" i="22" s="1"/>
  <c r="EU9" i="20"/>
  <c r="AA6" i="22" s="1"/>
  <c r="EU20" i="20"/>
  <c r="AA17" i="22" s="1"/>
  <c r="EU6" i="20"/>
  <c r="AA3" i="22" s="1"/>
  <c r="AU8" i="20"/>
  <c r="BT9" i="20"/>
  <c r="CL11" i="20"/>
  <c r="CM11" i="20" s="1"/>
  <c r="DB11" i="20"/>
  <c r="BT15" i="20"/>
  <c r="DB15" i="20"/>
  <c r="CV14" i="20"/>
  <c r="BT14" i="20"/>
  <c r="BT11" i="20"/>
  <c r="DB12" i="20"/>
  <c r="CV17" i="20"/>
  <c r="DB14" i="20"/>
  <c r="DB7" i="20"/>
  <c r="CV7" i="20"/>
  <c r="CL16" i="20"/>
  <c r="CM16" i="20" s="1"/>
  <c r="CV16" i="20"/>
  <c r="CL13" i="20"/>
  <c r="CM13" i="20" s="1"/>
  <c r="CV13" i="20"/>
  <c r="CL14" i="20"/>
  <c r="CM14" i="20" s="1"/>
  <c r="CL15" i="20"/>
  <c r="CM15" i="20" s="1"/>
  <c r="CL10" i="20"/>
  <c r="CM10" i="20" s="1"/>
  <c r="CV10" i="20"/>
  <c r="CL9" i="20"/>
  <c r="CM9" i="20" s="1"/>
  <c r="CV9" i="20"/>
  <c r="BT12" i="20"/>
  <c r="BT7" i="20"/>
  <c r="BT13" i="20"/>
  <c r="CB6" i="20"/>
  <c r="BT10" i="20"/>
  <c r="DB10" i="20"/>
  <c r="BT16" i="20"/>
  <c r="CL12" i="20"/>
  <c r="CM12" i="20" s="1"/>
  <c r="BT8" i="20"/>
  <c r="BT17" i="20"/>
  <c r="DB16" i="20"/>
  <c r="AZ18" i="20"/>
  <c r="DB8" i="20"/>
  <c r="CL8" i="20"/>
  <c r="CM8" i="20" s="1"/>
  <c r="B18" i="24"/>
  <c r="CT6" i="20"/>
  <c r="CN18" i="20"/>
  <c r="N3" i="24" s="1"/>
  <c r="Q40" i="22" s="1"/>
  <c r="BY19" i="20"/>
  <c r="CA19" i="20" s="1"/>
  <c r="CE19" i="20"/>
  <c r="BC8" i="20"/>
  <c r="BH8" i="20"/>
  <c r="BR8" i="20" s="1"/>
  <c r="BX8" i="20" s="1"/>
  <c r="BI41" i="20"/>
  <c r="CR12" i="20"/>
  <c r="CK12" i="20"/>
  <c r="CK14" i="20"/>
  <c r="CK9" i="20"/>
  <c r="CR9" i="20"/>
  <c r="CK10" i="20"/>
  <c r="CR10" i="20"/>
  <c r="CK16" i="20"/>
  <c r="CK13" i="20"/>
  <c r="CL17" i="20"/>
  <c r="CQ17" i="20" s="1"/>
  <c r="CK17" i="20"/>
  <c r="BY18" i="20"/>
  <c r="CY53" i="20" s="1"/>
  <c r="CY54" i="20" s="1"/>
  <c r="CR6" i="20"/>
  <c r="CK6" i="20"/>
  <c r="BD18" i="20"/>
  <c r="BE18" i="20" s="1"/>
  <c r="CK8" i="20"/>
  <c r="CR8" i="20"/>
  <c r="CK15" i="20"/>
  <c r="BH42" i="20"/>
  <c r="CR7" i="20"/>
  <c r="CK7" i="20"/>
  <c r="CK11" i="20"/>
  <c r="CR11" i="20"/>
  <c r="BF43" i="20"/>
  <c r="BK43" i="20" s="1"/>
  <c r="H7" i="24"/>
  <c r="CS7" i="20"/>
  <c r="CT7" i="20"/>
  <c r="CS8" i="20"/>
  <c r="CT8" i="20"/>
  <c r="DC53" i="20"/>
  <c r="DC34" i="20"/>
  <c r="DC45" i="20"/>
  <c r="DC49" i="20"/>
  <c r="DC47" i="20"/>
  <c r="DC41" i="20"/>
  <c r="DC39" i="20"/>
  <c r="DC42" i="20"/>
  <c r="DC32" i="20"/>
  <c r="DC48" i="20"/>
  <c r="DC38" i="20"/>
  <c r="DC40" i="20"/>
  <c r="DC44" i="20"/>
  <c r="DC35" i="20"/>
  <c r="DC51" i="20"/>
  <c r="DC43" i="20"/>
  <c r="DC37" i="20"/>
  <c r="DC46" i="20"/>
  <c r="DC31" i="20"/>
  <c r="DC36" i="20"/>
  <c r="DC52" i="20"/>
  <c r="DC33" i="20"/>
  <c r="CS9" i="20"/>
  <c r="CT9" i="20"/>
  <c r="BG44" i="20"/>
  <c r="CT11" i="20"/>
  <c r="G6" i="24"/>
  <c r="CS13" i="20"/>
  <c r="DB17" i="20"/>
  <c r="CJ18" i="20"/>
  <c r="CS17" i="20"/>
  <c r="CW18" i="20"/>
  <c r="CE18" i="20"/>
  <c r="BV6" i="20"/>
  <c r="BX6" i="20"/>
  <c r="CS16" i="20"/>
  <c r="CS10" i="20"/>
  <c r="T25" i="19"/>
  <c r="P24" i="19"/>
  <c r="T27" i="19"/>
  <c r="AU7" i="20"/>
  <c r="G9" i="27"/>
  <c r="AO10" i="20"/>
  <c r="BC41" i="20" s="1"/>
  <c r="BC7" i="20"/>
  <c r="R6" i="27"/>
  <c r="M8" i="27"/>
  <c r="AU9" i="20"/>
  <c r="W21" i="19"/>
  <c r="X21" i="19"/>
  <c r="X27" i="19"/>
  <c r="X34" i="19" s="1"/>
  <c r="AG8" i="20"/>
  <c r="X20" i="19"/>
  <c r="Y25" i="19" s="1"/>
  <c r="X25" i="19"/>
  <c r="X33" i="19" s="1"/>
  <c r="J25" i="19"/>
  <c r="Y18" i="19"/>
  <c r="J17" i="19"/>
  <c r="I17" i="19" s="1"/>
  <c r="F19" i="19"/>
  <c r="D26" i="19"/>
  <c r="AC25" i="19"/>
  <c r="AC32" i="19" s="1"/>
  <c r="AF20" i="19"/>
  <c r="AE20" i="19"/>
  <c r="Y24" i="19"/>
  <c r="Q26" i="19"/>
  <c r="Q33" i="19" s="1"/>
  <c r="P29" i="20" s="1"/>
  <c r="K26" i="19"/>
  <c r="P26" i="19"/>
  <c r="P33" i="19" s="1"/>
  <c r="P26" i="20" s="1"/>
  <c r="P25" i="19"/>
  <c r="J26" i="19"/>
  <c r="Q25" i="19"/>
  <c r="E27" i="19"/>
  <c r="DN26" i="20" l="1"/>
  <c r="DQ26" i="20" s="1"/>
  <c r="DO26" i="20"/>
  <c r="DP26" i="20" s="1"/>
  <c r="DM26" i="20"/>
  <c r="ER26" i="20"/>
  <c r="ES26" i="20" s="1"/>
  <c r="ET26" i="20" s="1"/>
  <c r="EU26" i="20" s="1"/>
  <c r="AA23" i="22" s="1"/>
  <c r="FH28" i="20"/>
  <c r="Y22" i="22"/>
  <c r="EQ25" i="20"/>
  <c r="DT25" i="20"/>
  <c r="ED25" i="20" s="1"/>
  <c r="EN25" i="20" s="1"/>
  <c r="DR25" i="20"/>
  <c r="EB25" i="20" s="1"/>
  <c r="EL25" i="20" s="1"/>
  <c r="DZ25" i="20"/>
  <c r="DS25" i="20"/>
  <c r="EC25" i="20" s="1"/>
  <c r="EM25" i="20" s="1"/>
  <c r="AE40" i="19"/>
  <c r="AE26" i="19" s="1"/>
  <c r="BE38" i="20"/>
  <c r="AY38" i="20" s="1"/>
  <c r="BJ38" i="20" s="1"/>
  <c r="CJ21" i="20"/>
  <c r="CQ7" i="20"/>
  <c r="FC28" i="20"/>
  <c r="FD28" i="20" s="1"/>
  <c r="AB25" i="22" s="1"/>
  <c r="FC12" i="20"/>
  <c r="FD12" i="20" s="1"/>
  <c r="AB9" i="22" s="1"/>
  <c r="C14" i="41"/>
  <c r="D20" i="41"/>
  <c r="C16" i="41"/>
  <c r="C15" i="41"/>
  <c r="AC33" i="19"/>
  <c r="D30" i="19"/>
  <c r="P13" i="19" s="1"/>
  <c r="B19" i="21" s="1"/>
  <c r="CL6" i="20"/>
  <c r="CM6" i="20" s="1"/>
  <c r="CD6" i="20"/>
  <c r="CD19" i="20" s="1"/>
  <c r="AR2" i="24"/>
  <c r="AH31" i="22" s="1"/>
  <c r="E30" i="19"/>
  <c r="M13" i="19" s="1"/>
  <c r="B22" i="21" s="1"/>
  <c r="J27" i="19"/>
  <c r="J33" i="19" s="1"/>
  <c r="P25" i="20" s="1"/>
  <c r="R25" i="20"/>
  <c r="R28" i="20" s="1"/>
  <c r="R35" i="20" s="1"/>
  <c r="G5" i="41" s="1"/>
  <c r="FC10" i="20"/>
  <c r="FD10" i="20" s="1"/>
  <c r="AB7" i="22" s="1"/>
  <c r="FC13" i="20"/>
  <c r="FD13" i="20" s="1"/>
  <c r="AB10" i="22" s="1"/>
  <c r="FC26" i="20"/>
  <c r="FD26" i="20" s="1"/>
  <c r="AB23" i="22" s="1"/>
  <c r="FC18" i="20"/>
  <c r="FD18" i="20" s="1"/>
  <c r="AB15" i="22" s="1"/>
  <c r="FC24" i="20"/>
  <c r="FD24" i="20" s="1"/>
  <c r="AB21" i="22" s="1"/>
  <c r="FC22" i="20"/>
  <c r="FD22" i="20" s="1"/>
  <c r="AB19" i="22" s="1"/>
  <c r="FC19" i="20"/>
  <c r="FD19" i="20" s="1"/>
  <c r="AB16" i="22" s="1"/>
  <c r="FC14" i="20"/>
  <c r="FD14" i="20" s="1"/>
  <c r="AB11" i="22" s="1"/>
  <c r="FC25" i="20"/>
  <c r="FD25" i="20" s="1"/>
  <c r="AB22" i="22" s="1"/>
  <c r="R17" i="30"/>
  <c r="FC9" i="20"/>
  <c r="FD9" i="20" s="1"/>
  <c r="AB6" i="22" s="1"/>
  <c r="FC27" i="20"/>
  <c r="FD27" i="20" s="1"/>
  <c r="AB24" i="22" s="1"/>
  <c r="FC23" i="20"/>
  <c r="FD23" i="20" s="1"/>
  <c r="AB20" i="22" s="1"/>
  <c r="FC17" i="20"/>
  <c r="FD17" i="20" s="1"/>
  <c r="AB14" i="22" s="1"/>
  <c r="FC16" i="20"/>
  <c r="FD16" i="20" s="1"/>
  <c r="AB13" i="22" s="1"/>
  <c r="FC15" i="20"/>
  <c r="FD15" i="20" s="1"/>
  <c r="AB12" i="22" s="1"/>
  <c r="FC11" i="20"/>
  <c r="FD11" i="20" s="1"/>
  <c r="AB8" i="22" s="1"/>
  <c r="FC8" i="20"/>
  <c r="FD8" i="20" s="1"/>
  <c r="AB5" i="22" s="1"/>
  <c r="FC7" i="20"/>
  <c r="FD7" i="20" s="1"/>
  <c r="AB4" i="22" s="1"/>
  <c r="I19" i="30"/>
  <c r="AB35" i="19"/>
  <c r="AE41" i="19"/>
  <c r="AE30" i="19" s="1"/>
  <c r="AB34" i="19"/>
  <c r="CO11" i="20"/>
  <c r="FC6" i="20"/>
  <c r="FD6" i="20" s="1"/>
  <c r="AB3" i="22" s="1"/>
  <c r="AG18" i="19"/>
  <c r="AG20" i="19" s="1"/>
  <c r="Y20" i="19"/>
  <c r="CO13" i="20"/>
  <c r="CO7" i="20"/>
  <c r="CO15" i="20"/>
  <c r="CO8" i="20"/>
  <c r="CO14" i="20"/>
  <c r="CO9" i="20"/>
  <c r="BV8" i="20"/>
  <c r="AZ19" i="20"/>
  <c r="BA19" i="20" s="1"/>
  <c r="BA18" i="20"/>
  <c r="N15" i="22" s="1"/>
  <c r="CQ11" i="20"/>
  <c r="BI42" i="20"/>
  <c r="CY16" i="20"/>
  <c r="BE42" i="20"/>
  <c r="AY42" i="20" s="1"/>
  <c r="BJ42" i="20" s="1"/>
  <c r="CQ10" i="20"/>
  <c r="CQ15" i="20"/>
  <c r="CJ25" i="20"/>
  <c r="BE47" i="20"/>
  <c r="CQ16" i="20"/>
  <c r="BE41" i="20"/>
  <c r="AY41" i="20" s="1"/>
  <c r="BJ41" i="20" s="1"/>
  <c r="BE46" i="20"/>
  <c r="CY7" i="20"/>
  <c r="CZ7" i="20" s="1"/>
  <c r="CO12" i="20"/>
  <c r="CJ23" i="20"/>
  <c r="CQ13" i="20"/>
  <c r="BE45" i="20"/>
  <c r="CQ14" i="20"/>
  <c r="BT18" i="20"/>
  <c r="BE44" i="20"/>
  <c r="CJ22" i="20"/>
  <c r="CJ24" i="20"/>
  <c r="CQ9" i="20"/>
  <c r="BE40" i="20"/>
  <c r="AY40" i="20" s="1"/>
  <c r="BJ40" i="20" s="1"/>
  <c r="CV6" i="20"/>
  <c r="CV18" i="20" s="1"/>
  <c r="T31" i="19"/>
  <c r="T36" i="19" s="1"/>
  <c r="CY13" i="20"/>
  <c r="CZ13" i="20" s="1"/>
  <c r="CB18" i="20"/>
  <c r="CY14" i="20"/>
  <c r="BE43" i="20"/>
  <c r="AY43" i="20" s="1"/>
  <c r="BJ43" i="20" s="1"/>
  <c r="CQ12" i="20"/>
  <c r="CM20" i="20"/>
  <c r="CN20" i="20" s="1"/>
  <c r="DB6" i="20"/>
  <c r="DB18" i="20" s="1"/>
  <c r="DL53" i="20" s="1"/>
  <c r="DR79" i="20" s="1"/>
  <c r="CY17" i="20"/>
  <c r="CY10" i="20"/>
  <c r="CZ10" i="20" s="1"/>
  <c r="CQ8" i="20"/>
  <c r="CY9" i="20"/>
  <c r="CZ9" i="20" s="1"/>
  <c r="CJ26" i="20"/>
  <c r="BE39" i="20"/>
  <c r="AY39" i="20" s="1"/>
  <c r="BJ39" i="20" s="1"/>
  <c r="CA18" i="20"/>
  <c r="CO17" i="20"/>
  <c r="CM17" i="20"/>
  <c r="CJ27" i="20"/>
  <c r="CR13" i="20"/>
  <c r="CK18" i="20"/>
  <c r="BH43" i="20"/>
  <c r="BI43" i="20" s="1"/>
  <c r="CS18" i="20"/>
  <c r="N2" i="24" s="1"/>
  <c r="Q39" i="22" s="1"/>
  <c r="BE48" i="20"/>
  <c r="BF44" i="20"/>
  <c r="BK44" i="20" s="1"/>
  <c r="H8" i="24"/>
  <c r="CT12" i="20"/>
  <c r="G7" i="24"/>
  <c r="CG18" i="20"/>
  <c r="CU18" i="20"/>
  <c r="R8" i="27"/>
  <c r="BC9" i="20"/>
  <c r="BH7" i="20"/>
  <c r="BR7" i="20" s="1"/>
  <c r="BM7" i="20"/>
  <c r="G10" i="27"/>
  <c r="AO11" i="20"/>
  <c r="BC42" i="20" s="1"/>
  <c r="M9" i="27"/>
  <c r="AU10" i="20"/>
  <c r="Y33" i="19"/>
  <c r="Y27" i="19"/>
  <c r="Y34" i="19" s="1"/>
  <c r="AG9" i="20"/>
  <c r="AO12" i="20"/>
  <c r="BC43" i="20" s="1"/>
  <c r="X35" i="19"/>
  <c r="AE28" i="19"/>
  <c r="AE24" i="19"/>
  <c r="AE29" i="19"/>
  <c r="AE25" i="19"/>
  <c r="K27" i="19"/>
  <c r="Q30" i="19"/>
  <c r="M15" i="19" s="1"/>
  <c r="P30" i="19"/>
  <c r="P15" i="19" s="1"/>
  <c r="DO27" i="20" l="1"/>
  <c r="DP27" i="20" s="1"/>
  <c r="DN27" i="20"/>
  <c r="DQ27" i="20" s="1"/>
  <c r="ER27" i="20"/>
  <c r="ES27" i="20" s="1"/>
  <c r="ET27" i="20" s="1"/>
  <c r="EU27" i="20" s="1"/>
  <c r="AA24" i="22" s="1"/>
  <c r="DM27" i="20"/>
  <c r="DO28" i="20"/>
  <c r="DP28" i="20" s="1"/>
  <c r="DN28" i="20"/>
  <c r="DQ28" i="20" s="1"/>
  <c r="DM28" i="20"/>
  <c r="ER28" i="20"/>
  <c r="ES28" i="20" s="1"/>
  <c r="ET28" i="20" s="1"/>
  <c r="EU28" i="20" s="1"/>
  <c r="AA25" i="22" s="1"/>
  <c r="EQ26" i="20"/>
  <c r="Y23" i="22"/>
  <c r="DS26" i="20"/>
  <c r="EC26" i="20" s="1"/>
  <c r="EM26" i="20" s="1"/>
  <c r="DZ26" i="20"/>
  <c r="DR26" i="20"/>
  <c r="EB26" i="20" s="1"/>
  <c r="EL26" i="20" s="1"/>
  <c r="DT26" i="20"/>
  <c r="ED26" i="20" s="1"/>
  <c r="EN26" i="20" s="1"/>
  <c r="P4" i="19"/>
  <c r="C19" i="21" s="1"/>
  <c r="J30" i="19"/>
  <c r="P14" i="19" s="1"/>
  <c r="B20" i="21" s="1"/>
  <c r="F23" i="41"/>
  <c r="F21" i="41"/>
  <c r="F22" i="41"/>
  <c r="Q13" i="19"/>
  <c r="C20" i="41"/>
  <c r="M4" i="19"/>
  <c r="C22" i="21" s="1"/>
  <c r="Q16" i="19"/>
  <c r="K30" i="19"/>
  <c r="M14" i="19" s="1"/>
  <c r="B23" i="21" s="1"/>
  <c r="K33" i="19"/>
  <c r="P28" i="20" s="1"/>
  <c r="P35" i="20" s="1"/>
  <c r="F20" i="30"/>
  <c r="C5" i="31" s="1"/>
  <c r="AM24" i="22" s="1"/>
  <c r="AC34" i="19"/>
  <c r="B25" i="21" s="1"/>
  <c r="U6" i="30"/>
  <c r="U13" i="30"/>
  <c r="U5" i="30"/>
  <c r="U12" i="30"/>
  <c r="U11" i="30"/>
  <c r="U10" i="30"/>
  <c r="U9" i="30"/>
  <c r="U8" i="30"/>
  <c r="U7" i="30"/>
  <c r="X37" i="19"/>
  <c r="X36" i="19"/>
  <c r="B27" i="21" s="1"/>
  <c r="T33" i="19"/>
  <c r="U36" i="19"/>
  <c r="T32" i="19" s="1"/>
  <c r="Y35" i="19"/>
  <c r="Y36" i="19" s="1"/>
  <c r="F27" i="21" s="1"/>
  <c r="AY44" i="20"/>
  <c r="BJ44" i="20" s="1"/>
  <c r="CQ6" i="20"/>
  <c r="CL18" i="20"/>
  <c r="L6" i="24" s="1"/>
  <c r="U35" i="22" s="1"/>
  <c r="BE37" i="20"/>
  <c r="CM18" i="20"/>
  <c r="CJ20" i="20"/>
  <c r="CO6" i="20"/>
  <c r="CO18" i="20" s="1"/>
  <c r="CY6" i="20"/>
  <c r="CZ6" i="20" s="1"/>
  <c r="CD18" i="20"/>
  <c r="BG45" i="20"/>
  <c r="CJ28" i="20"/>
  <c r="CR14" i="20"/>
  <c r="BH44" i="20"/>
  <c r="L3" i="24"/>
  <c r="Q35" i="22" s="1"/>
  <c r="L2" i="24"/>
  <c r="Q34" i="22" s="1"/>
  <c r="BF45" i="20"/>
  <c r="AY45" i="20" s="1"/>
  <c r="BJ45" i="20" s="1"/>
  <c r="H9" i="24"/>
  <c r="CZ14" i="20"/>
  <c r="CT13" i="20"/>
  <c r="G8" i="24"/>
  <c r="BV7" i="20"/>
  <c r="BX7" i="20"/>
  <c r="M6" i="19"/>
  <c r="C24" i="21" s="1"/>
  <c r="B24" i="21"/>
  <c r="P6" i="19"/>
  <c r="C21" i="21" s="1"/>
  <c r="B21" i="21"/>
  <c r="R9" i="27"/>
  <c r="BC10" i="20"/>
  <c r="M10" i="27"/>
  <c r="AU11" i="20"/>
  <c r="BH9" i="20"/>
  <c r="BR9" i="20" s="1"/>
  <c r="BM9" i="20"/>
  <c r="A26" i="27"/>
  <c r="G11" i="27"/>
  <c r="AO13" i="20"/>
  <c r="BC44" i="20" s="1"/>
  <c r="AG10" i="20"/>
  <c r="U27" i="19"/>
  <c r="U25" i="19"/>
  <c r="AE35" i="19"/>
  <c r="AE36" i="19" s="1"/>
  <c r="AE32" i="19"/>
  <c r="AE33" i="19" s="1"/>
  <c r="Q18" i="19"/>
  <c r="Q15" i="19"/>
  <c r="EQ28" i="20" l="1"/>
  <c r="Y25" i="22"/>
  <c r="DZ28" i="20"/>
  <c r="DS28" i="20"/>
  <c r="EC28" i="20" s="1"/>
  <c r="EM28" i="20" s="1"/>
  <c r="DT28" i="20"/>
  <c r="ED28" i="20" s="1"/>
  <c r="EN28" i="20" s="1"/>
  <c r="DR28" i="20"/>
  <c r="EB28" i="20" s="1"/>
  <c r="EL28" i="20" s="1"/>
  <c r="Y24" i="22"/>
  <c r="EQ27" i="20"/>
  <c r="DR27" i="20"/>
  <c r="EB27" i="20" s="1"/>
  <c r="EL27" i="20" s="1"/>
  <c r="DZ27" i="20"/>
  <c r="DT27" i="20"/>
  <c r="ED27" i="20" s="1"/>
  <c r="EN27" i="20" s="1"/>
  <c r="DS27" i="20"/>
  <c r="EC27" i="20" s="1"/>
  <c r="EM27" i="20" s="1"/>
  <c r="Q14" i="19"/>
  <c r="P5" i="19"/>
  <c r="C20" i="21" s="1"/>
  <c r="M5" i="19"/>
  <c r="C23" i="21" s="1"/>
  <c r="Q17" i="19"/>
  <c r="P18" i="19" s="1"/>
  <c r="P36" i="20"/>
  <c r="G7" i="41"/>
  <c r="T34" i="19"/>
  <c r="C26" i="21" s="1"/>
  <c r="U17" i="30"/>
  <c r="U18" i="30" s="1"/>
  <c r="Y37" i="19"/>
  <c r="Y38" i="19" s="1"/>
  <c r="G27" i="21" s="1"/>
  <c r="B26" i="21"/>
  <c r="B29" i="21" s="1"/>
  <c r="B31" i="21" s="1"/>
  <c r="X38" i="19"/>
  <c r="C27" i="21" s="1"/>
  <c r="BE51" i="20"/>
  <c r="AY37" i="20"/>
  <c r="BJ37" i="20" s="1"/>
  <c r="BI44" i="20"/>
  <c r="L5" i="24"/>
  <c r="U34" i="22" s="1"/>
  <c r="CQ18" i="20"/>
  <c r="BE49" i="20"/>
  <c r="CY18" i="20"/>
  <c r="Q2" i="24" s="1"/>
  <c r="O38" i="22" s="1"/>
  <c r="AE34" i="19"/>
  <c r="AE38" i="19" s="1"/>
  <c r="AE39" i="19" s="1"/>
  <c r="G25" i="21" s="1"/>
  <c r="BK45" i="20"/>
  <c r="BG46" i="20"/>
  <c r="CR15" i="20"/>
  <c r="CJ29" i="20"/>
  <c r="BH45" i="20"/>
  <c r="BI45" i="20" s="1"/>
  <c r="BF46" i="20"/>
  <c r="AY46" i="20" s="1"/>
  <c r="BJ46" i="20" s="1"/>
  <c r="H10" i="24"/>
  <c r="CZ15" i="20"/>
  <c r="G9" i="24"/>
  <c r="CT14" i="20"/>
  <c r="BV9" i="20"/>
  <c r="BX9" i="20"/>
  <c r="M11" i="27"/>
  <c r="AU12" i="20"/>
  <c r="R10" i="27"/>
  <c r="BC11" i="20"/>
  <c r="BM10" i="20"/>
  <c r="BH10" i="20"/>
  <c r="BR10" i="20" s="1"/>
  <c r="A27" i="27"/>
  <c r="G12" i="27"/>
  <c r="AG11" i="20"/>
  <c r="AO14" i="20"/>
  <c r="BC45" i="20" s="1"/>
  <c r="U31" i="19"/>
  <c r="AC38" i="19"/>
  <c r="AC39" i="19" s="1"/>
  <c r="C25" i="21" s="1"/>
  <c r="P17" i="19" l="1"/>
  <c r="G21" i="41"/>
  <c r="T19" i="30"/>
  <c r="B2" i="31" s="1"/>
  <c r="AM22" i="22" s="1"/>
  <c r="Q3" i="24"/>
  <c r="Q38" i="22" s="1"/>
  <c r="U33" i="19"/>
  <c r="U32" i="19"/>
  <c r="BG47" i="20"/>
  <c r="CJ30" i="20"/>
  <c r="CR16" i="20"/>
  <c r="BK46" i="20"/>
  <c r="BH46" i="20"/>
  <c r="BF47" i="20"/>
  <c r="AY47" i="20" s="1"/>
  <c r="BJ47" i="20" s="1"/>
  <c r="H11" i="24"/>
  <c r="CZ16" i="20"/>
  <c r="G10" i="24"/>
  <c r="CT15" i="20"/>
  <c r="BV10" i="20"/>
  <c r="BX10" i="20"/>
  <c r="BM11" i="20"/>
  <c r="BH11" i="20"/>
  <c r="BR11" i="20" s="1"/>
  <c r="M12" i="27"/>
  <c r="AU13" i="20"/>
  <c r="BC12" i="20"/>
  <c r="R11" i="27"/>
  <c r="C29" i="21"/>
  <c r="C31" i="21" s="1"/>
  <c r="A28" i="27"/>
  <c r="G13" i="27"/>
  <c r="AO15" i="20"/>
  <c r="BC46" i="20" s="1"/>
  <c r="AG12" i="20"/>
  <c r="F25" i="21"/>
  <c r="G23" i="41" l="1"/>
  <c r="D16" i="41" s="1"/>
  <c r="G22" i="41"/>
  <c r="D15" i="41" s="1"/>
  <c r="H15" i="41" s="1"/>
  <c r="G25" i="41" s="1"/>
  <c r="D14" i="41"/>
  <c r="H14" i="41" s="1"/>
  <c r="J3" i="31"/>
  <c r="BI46" i="20"/>
  <c r="F26" i="21"/>
  <c r="U34" i="19"/>
  <c r="G26" i="21" s="1"/>
  <c r="BK47" i="20"/>
  <c r="CZ17" i="20"/>
  <c r="CZ18" i="20" s="1"/>
  <c r="BG48" i="20"/>
  <c r="CR17" i="20"/>
  <c r="CR18" i="20" s="1"/>
  <c r="L4" i="24" s="1"/>
  <c r="Q36" i="22" s="1"/>
  <c r="CJ31" i="20"/>
  <c r="CJ32" i="20" s="1"/>
  <c r="L7" i="24" s="1"/>
  <c r="U36" i="22" s="1"/>
  <c r="BH47" i="20"/>
  <c r="BF48" i="20"/>
  <c r="H12" i="24"/>
  <c r="H13" i="24" s="1"/>
  <c r="J1" i="22"/>
  <c r="G11" i="24"/>
  <c r="CT16" i="20"/>
  <c r="BV11" i="20"/>
  <c r="BX11" i="20"/>
  <c r="BC13" i="20"/>
  <c r="R12" i="27"/>
  <c r="BM12" i="20"/>
  <c r="BH12" i="20"/>
  <c r="BR12" i="20" s="1"/>
  <c r="M13" i="27"/>
  <c r="AU14" i="20"/>
  <c r="A29" i="27"/>
  <c r="G14" i="27"/>
  <c r="AO16" i="20"/>
  <c r="BC47" i="20" s="1"/>
  <c r="AG13" i="20"/>
  <c r="G24" i="41" l="1"/>
  <c r="H16" i="41"/>
  <c r="G26" i="41" s="1"/>
  <c r="B14" i="38"/>
  <c r="D29" i="38" s="1"/>
  <c r="E29" i="38" s="1"/>
  <c r="C25" i="38"/>
  <c r="BH48" i="20"/>
  <c r="BH51" i="20" s="1"/>
  <c r="AY48" i="20"/>
  <c r="BJ48" i="20" s="1"/>
  <c r="BI47" i="20"/>
  <c r="BK48" i="20"/>
  <c r="BG51" i="20"/>
  <c r="BG49" i="20"/>
  <c r="BF49" i="20"/>
  <c r="BF51" i="20"/>
  <c r="CT17" i="20"/>
  <c r="CT18" i="20" s="1"/>
  <c r="N4" i="24" s="1"/>
  <c r="Q41" i="22" s="1"/>
  <c r="G12" i="24"/>
  <c r="G13" i="24" s="1"/>
  <c r="Q4" i="24"/>
  <c r="T38" i="22" s="1"/>
  <c r="BV12" i="20"/>
  <c r="BX12" i="20"/>
  <c r="M14" i="27"/>
  <c r="AU15" i="20"/>
  <c r="BC14" i="20"/>
  <c r="R13" i="27"/>
  <c r="BH13" i="20"/>
  <c r="BR13" i="20" s="1"/>
  <c r="BM13" i="20"/>
  <c r="A30" i="27"/>
  <c r="G15" i="27"/>
  <c r="AO17" i="20"/>
  <c r="BC48" i="20" s="1"/>
  <c r="AG14" i="20"/>
  <c r="BH59" i="20" l="1"/>
  <c r="BH57" i="20"/>
  <c r="BI57" i="20" s="1"/>
  <c r="BH56" i="20"/>
  <c r="BI56" i="20" s="1"/>
  <c r="BI59" i="20"/>
  <c r="BK59" i="20"/>
  <c r="BH53" i="20" s="1"/>
  <c r="R44" i="22" s="1"/>
  <c r="D21" i="38"/>
  <c r="D25" i="38"/>
  <c r="D26" i="38" s="1"/>
  <c r="C25" i="37"/>
  <c r="C26" i="37" s="1"/>
  <c r="B14" i="37"/>
  <c r="D29" i="37" s="1"/>
  <c r="E29" i="37" s="1"/>
  <c r="C25" i="39"/>
  <c r="C26" i="39" s="1"/>
  <c r="B14" i="39"/>
  <c r="C26" i="38"/>
  <c r="BH49" i="20"/>
  <c r="BI48" i="20"/>
  <c r="BI51" i="20" s="1"/>
  <c r="BJ51" i="20"/>
  <c r="BJ49" i="20"/>
  <c r="L11" i="24"/>
  <c r="BV13" i="20"/>
  <c r="BX13" i="20"/>
  <c r="M15" i="27"/>
  <c r="AU16" i="20"/>
  <c r="BM14" i="20"/>
  <c r="BH14" i="20"/>
  <c r="BR14" i="20" s="1"/>
  <c r="BC15" i="20"/>
  <c r="R14" i="27"/>
  <c r="A31" i="27"/>
  <c r="G16" i="27"/>
  <c r="AG15" i="20"/>
  <c r="BH58" i="20" l="1"/>
  <c r="D29" i="39"/>
  <c r="E29" i="39" s="1"/>
  <c r="D21" i="39"/>
  <c r="E21" i="39" s="1"/>
  <c r="D25" i="39"/>
  <c r="D26" i="39" s="1"/>
  <c r="E26" i="39" s="1"/>
  <c r="D25" i="37"/>
  <c r="D26" i="37" s="1"/>
  <c r="E26" i="37" s="1"/>
  <c r="D21" i="37"/>
  <c r="D22" i="37" s="1"/>
  <c r="E26" i="38"/>
  <c r="E25" i="38"/>
  <c r="D22" i="38"/>
  <c r="E22" i="38" s="1"/>
  <c r="E21" i="38"/>
  <c r="BI49" i="20"/>
  <c r="BI53" i="20"/>
  <c r="R46" i="22" s="1"/>
  <c r="BV14" i="20"/>
  <c r="BX14" i="20"/>
  <c r="M16" i="27"/>
  <c r="AU17" i="20"/>
  <c r="BM15" i="20"/>
  <c r="BH15" i="20"/>
  <c r="BR15" i="20" s="1"/>
  <c r="R15" i="27"/>
  <c r="BC16" i="20"/>
  <c r="D22" i="39" l="1"/>
  <c r="E22" i="39" s="1"/>
  <c r="BI58" i="20"/>
  <c r="BK58" i="20"/>
  <c r="BH52" i="20" s="1"/>
  <c r="BI52" i="20" s="1"/>
  <c r="BJ53" i="20" s="1"/>
  <c r="BL37" i="20" s="1"/>
  <c r="E25" i="37"/>
  <c r="E21" i="37"/>
  <c r="E25" i="39"/>
  <c r="B32" i="39" s="1"/>
  <c r="B32" i="38"/>
  <c r="E22" i="37"/>
  <c r="BV15" i="20"/>
  <c r="BX15" i="20"/>
  <c r="BM16" i="20"/>
  <c r="BH16" i="20"/>
  <c r="BR16" i="20" s="1"/>
  <c r="BC17" i="20"/>
  <c r="R16" i="27"/>
  <c r="R45" i="22" l="1"/>
  <c r="R43" i="22"/>
  <c r="R47" i="22"/>
  <c r="U46" i="22" s="1"/>
  <c r="B32" i="37"/>
  <c r="F17" i="40" s="1"/>
  <c r="L17" i="40" s="1"/>
  <c r="AO29" i="22" s="1"/>
  <c r="B33" i="39"/>
  <c r="B35" i="39" s="1"/>
  <c r="B36" i="39" s="1"/>
  <c r="K19" i="40" s="1"/>
  <c r="AN31" i="22" s="1"/>
  <c r="B33" i="38"/>
  <c r="B35" i="38" s="1"/>
  <c r="B36" i="38" s="1"/>
  <c r="K18" i="40" s="1"/>
  <c r="AN30" i="22" s="1"/>
  <c r="F18" i="40"/>
  <c r="L18" i="40" s="1"/>
  <c r="AO30" i="22" s="1"/>
  <c r="B33" i="37"/>
  <c r="B35" i="37" s="1"/>
  <c r="B36" i="37" s="1"/>
  <c r="K17" i="40" s="1"/>
  <c r="AN29" i="22" s="1"/>
  <c r="BV16" i="20"/>
  <c r="BX16" i="20"/>
  <c r="BH17" i="20"/>
  <c r="BR17" i="20" s="1"/>
  <c r="BM17" i="20"/>
  <c r="F19" i="40" l="1"/>
  <c r="L19" i="40" s="1"/>
  <c r="AO31" i="22" s="1"/>
  <c r="BV17" i="20"/>
  <c r="BX17"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tc={E61B39E2-B389-4DB9-8180-75F102F10138}</author>
  </authors>
  <commentList>
    <comment ref="F10" authorId="0" shapeId="0" xr:uid="{E61B39E2-B389-4DB9-8180-75F102F10138}">
      <text>
        <t>[Comentario encadenado]
Su versión de Excel le permite leer este comentario encadenado; sin embargo, las ediciones que se apliquen se quitarán si el archivo se abre en una versión más reciente de Excel. Más información: https://go.microsoft.com/fwlink/?linkid=870924
Comentario:
    Considerar cada piso y básicamente al área de producción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tc={6D0B5085-FD7C-49EE-B9DE-ED34D4D22320}</author>
  </authors>
  <commentList>
    <comment ref="H3" authorId="0" shapeId="0" xr:uid="{6D0B5085-FD7C-49EE-B9DE-ED34D4D22320}">
      <text>
        <t>[Comentario encadenado]
Su versión de Excel le permite leer este comentario encadenado; sin embargo, las ediciones que se apliquen se quitarán si el archivo se abre en una versión más reciente de Excel. Más información: https://go.microsoft.com/fwlink/?linkid=870924
Comentario:
    E.R consumida, ojo no la facturada</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tc={B3EC3C78-F73C-4303-AC69-6618BB48BD47}</author>
  </authors>
  <commentList>
    <comment ref="H5" authorId="0" shapeId="0" xr:uid="{B3EC3C78-F73C-4303-AC69-6618BB48BD47}">
      <text>
        <t>[Comentario encadenado]
Su versión de Excel le permite leer este comentario encadenado; sin embargo, las ediciones que se apliquen se quitarán si el archivo se abre en una versión más reciente de Excel. Más información: https://go.microsoft.com/fwlink/?linkid=870924
Comentario:
    E.R consumida, ojo no la facturada</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<sst xmlns="http://schemas.openxmlformats.org/spreadsheetml/2006/main" count="1284" uniqueCount="525">
  <si>
    <r>
      <t xml:space="preserve">Tarfia </t>
    </r>
    <r>
      <rPr>
        <b/>
        <sz val="9"/>
        <color theme="1"/>
        <rFont val="Arial"/>
        <family val="2"/>
        <scheme val="minor"/>
      </rPr>
      <t>recomendada</t>
    </r>
  </si>
  <si>
    <t>Máquina/Equipo</t>
  </si>
  <si>
    <t>Factor de carga</t>
  </si>
  <si>
    <t>Sistema eléct. usado</t>
  </si>
  <si>
    <t>Objetivo</t>
  </si>
  <si>
    <t>Realizar un diagnóstico básico del desempeño energético de la empresa y recomendar oportunidades de mejora.</t>
  </si>
  <si>
    <t>Informe: Diagnóstico de Eficiencia Energética</t>
  </si>
  <si>
    <t>Empresa</t>
  </si>
  <si>
    <t>RUC</t>
  </si>
  <si>
    <t>Liderada por</t>
  </si>
  <si>
    <t>Región</t>
  </si>
  <si>
    <t>Dirección</t>
  </si>
  <si>
    <t>Tarifa Eléctrica</t>
  </si>
  <si>
    <t>Potencia contratada (kW)</t>
  </si>
  <si>
    <t>Actividad manufacturera</t>
  </si>
  <si>
    <t>Observaciones</t>
  </si>
  <si>
    <t>Soles GLP (anual)</t>
  </si>
  <si>
    <t>Usando GN, ahorraría anualmente</t>
  </si>
  <si>
    <t>El mayor consumo de energía total debe ser congruente al mes de mayor producción, así mismo el menor consumo de energía debe corresponder al mes de menor producción</t>
  </si>
  <si>
    <t>Fecha</t>
  </si>
  <si>
    <t>Mes de mayor producción</t>
  </si>
  <si>
    <t>Mes de menor  producción</t>
  </si>
  <si>
    <t>Metodología</t>
  </si>
  <si>
    <t>Metodología propia basada en las Ashrae Nivel 1</t>
  </si>
  <si>
    <t>Soles GN (anual)</t>
  </si>
  <si>
    <t>KPI´S</t>
  </si>
  <si>
    <t>Recomendaciones</t>
  </si>
  <si>
    <t>kWh(e)/m2*año</t>
  </si>
  <si>
    <t>kWh(t)/m2*año</t>
  </si>
  <si>
    <t>kWh(e)/persona*año</t>
  </si>
  <si>
    <t>kWh(t)/persona*año</t>
  </si>
  <si>
    <t>kWh(e)/Soles Facturados</t>
  </si>
  <si>
    <t>kWh(t)/Soles Facturados</t>
  </si>
  <si>
    <t>kg CO2/m2*año</t>
  </si>
  <si>
    <t>kg CO2/persona*año</t>
  </si>
  <si>
    <t>kg CO2/Soles facturados</t>
  </si>
  <si>
    <t>S/. /m2*año</t>
  </si>
  <si>
    <t>S/. /persona*año</t>
  </si>
  <si>
    <t>S/. / Soles Facturados</t>
  </si>
  <si>
    <t>kWh(t) / unidad de producción</t>
  </si>
  <si>
    <t>Costo de energía (total) por unidad de producción</t>
  </si>
  <si>
    <t>kWh(e) / unidad de producción</t>
  </si>
  <si>
    <t>S/.(t) / unidad de producción</t>
  </si>
  <si>
    <t>S/.(e) / unidad de producción</t>
  </si>
  <si>
    <t>Soles Diesel (anual)</t>
  </si>
  <si>
    <t>Nombre de la empresa</t>
  </si>
  <si>
    <t>Mujer</t>
  </si>
  <si>
    <t>Amazonas</t>
  </si>
  <si>
    <t>Direccion</t>
  </si>
  <si>
    <t>Tarifa eléctrica</t>
  </si>
  <si>
    <t>BT5B</t>
  </si>
  <si>
    <t>OBS (describa lo que crea conveniente)</t>
  </si>
  <si>
    <t>Fecha de la visita</t>
  </si>
  <si>
    <t>Mes mas bajo de producción</t>
  </si>
  <si>
    <t>Julio</t>
  </si>
  <si>
    <t>Tensión (V)</t>
  </si>
  <si>
    <t>Mes mas alto de producción</t>
  </si>
  <si>
    <t>Junio</t>
  </si>
  <si>
    <t>Mes</t>
  </si>
  <si>
    <t>Cantidad de Colaboradores</t>
  </si>
  <si>
    <t>Cuantas Mujeres</t>
  </si>
  <si>
    <t>Hombres</t>
  </si>
  <si>
    <t>Ventas</t>
  </si>
  <si>
    <t>Producción (unidades/m2/kg/etc)</t>
  </si>
  <si>
    <t>Dias/semana opera</t>
  </si>
  <si>
    <t>Horario</t>
  </si>
  <si>
    <t>Lunes a Viernes</t>
  </si>
  <si>
    <t>Sabado</t>
  </si>
  <si>
    <t>Energía Eléctrica</t>
  </si>
  <si>
    <t>GLP</t>
  </si>
  <si>
    <t>Gas Natural</t>
  </si>
  <si>
    <t xml:space="preserve">Diesel </t>
  </si>
  <si>
    <t>Energía activa (kWh)</t>
  </si>
  <si>
    <t>S/.</t>
  </si>
  <si>
    <t>Unidad</t>
  </si>
  <si>
    <t>Cantidad</t>
  </si>
  <si>
    <t>Precio x unidad</t>
  </si>
  <si>
    <t>Hora Punta</t>
  </si>
  <si>
    <t>Fuera Punta</t>
  </si>
  <si>
    <t>Salchicha (galones)</t>
  </si>
  <si>
    <t>m3</t>
  </si>
  <si>
    <t>gal</t>
  </si>
  <si>
    <t>Demanda (kW)</t>
  </si>
  <si>
    <t>Número de horas pico al dia</t>
  </si>
  <si>
    <t>Equipos/Máquina</t>
  </si>
  <si>
    <t>Potencia</t>
  </si>
  <si>
    <t>Horas de operación x día</t>
  </si>
  <si>
    <t>Días de operación a la semana</t>
  </si>
  <si>
    <t>ELECTRICO</t>
  </si>
  <si>
    <t>L1</t>
  </si>
  <si>
    <t>L2</t>
  </si>
  <si>
    <t>L3</t>
  </si>
  <si>
    <t>Hp</t>
  </si>
  <si>
    <t>kW</t>
  </si>
  <si>
    <t>CV</t>
  </si>
  <si>
    <t>*Se considera como factor de potencia (FP)</t>
  </si>
  <si>
    <r>
      <t>Si el equipo es "</t>
    </r>
    <r>
      <rPr>
        <b/>
        <u/>
        <sz val="11"/>
        <color theme="1"/>
        <rFont val="Arial"/>
        <family val="2"/>
        <scheme val="minor"/>
      </rPr>
      <t>monofásico"</t>
    </r>
    <r>
      <rPr>
        <b/>
        <sz val="11"/>
        <color theme="1"/>
        <rFont val="Arial"/>
        <family val="2"/>
        <scheme val="minor"/>
      </rPr>
      <t xml:space="preserve"> solo colocar en L1</t>
    </r>
  </si>
  <si>
    <r>
      <t xml:space="preserve">Equipos/máquinas consumen (combustible fósil) energía </t>
    </r>
    <r>
      <rPr>
        <b/>
        <sz val="11"/>
        <color theme="1"/>
        <rFont val="Arial"/>
        <family val="2"/>
        <scheme val="minor"/>
      </rPr>
      <t>térmica</t>
    </r>
    <r>
      <rPr>
        <sz val="11"/>
        <color theme="1"/>
        <rFont val="Arial"/>
        <family val="2"/>
        <scheme val="minor"/>
      </rPr>
      <t xml:space="preserve"> como fuente principal</t>
    </r>
  </si>
  <si>
    <t>TERMICO</t>
  </si>
  <si>
    <t>BHP</t>
  </si>
  <si>
    <t>BTU</t>
  </si>
  <si>
    <t>Indicadores KPI´s</t>
  </si>
  <si>
    <t>kWhe/m2*a</t>
  </si>
  <si>
    <t>S/. /m2*a</t>
  </si>
  <si>
    <t>kg CO2/m2*a</t>
  </si>
  <si>
    <t>kWhe/persona*a</t>
  </si>
  <si>
    <t>S/. /m2*p</t>
  </si>
  <si>
    <t>kg CO2/persona*a</t>
  </si>
  <si>
    <t>kWhe/Soles Fact.</t>
  </si>
  <si>
    <t>S/. / Soles Fact.</t>
  </si>
  <si>
    <t>kg CO2/Soles Fact.</t>
  </si>
  <si>
    <t>kWht/m2*a</t>
  </si>
  <si>
    <t>kWht/persona*a</t>
  </si>
  <si>
    <t>kWht/Soles Fact.</t>
  </si>
  <si>
    <t>Sol facturado</t>
  </si>
  <si>
    <t>Sol en energía</t>
  </si>
  <si>
    <t>Total</t>
  </si>
  <si>
    <t>Mujeres</t>
  </si>
  <si>
    <t>2 ENERGIAS + 2 POTENCIAS</t>
  </si>
  <si>
    <t>BT2</t>
  </si>
  <si>
    <t>MT2</t>
  </si>
  <si>
    <t>No usa</t>
  </si>
  <si>
    <t>Cargo Fijo Mensual</t>
  </si>
  <si>
    <t>Balón de 10kg</t>
  </si>
  <si>
    <t>Enero</t>
  </si>
  <si>
    <t>bajo</t>
  </si>
  <si>
    <t xml:space="preserve">potencia </t>
  </si>
  <si>
    <t>Cargo por Energía Activa en Punta</t>
  </si>
  <si>
    <t xml:space="preserve"> Ancash</t>
  </si>
  <si>
    <t>BT3</t>
  </si>
  <si>
    <t>Balón de 45kg</t>
  </si>
  <si>
    <t>Hombre</t>
  </si>
  <si>
    <t>kWh</t>
  </si>
  <si>
    <t>Febrero</t>
  </si>
  <si>
    <t>alto</t>
  </si>
  <si>
    <t>mono</t>
  </si>
  <si>
    <t>Cargo por Energía Activa Fuera de Punta</t>
  </si>
  <si>
    <t>Apurimac</t>
  </si>
  <si>
    <t>BT4</t>
  </si>
  <si>
    <t>Marzo</t>
  </si>
  <si>
    <t>Electricidad</t>
  </si>
  <si>
    <t>GN</t>
  </si>
  <si>
    <t>Diesel</t>
  </si>
  <si>
    <t>kg CO2</t>
  </si>
  <si>
    <t>termico</t>
  </si>
  <si>
    <t>trifásico</t>
  </si>
  <si>
    <t>monofasico</t>
  </si>
  <si>
    <t>y trifa</t>
  </si>
  <si>
    <t>potencia</t>
  </si>
  <si>
    <t>triafs</t>
  </si>
  <si>
    <t>desbalance</t>
  </si>
  <si>
    <t>entre fases</t>
  </si>
  <si>
    <t>Cargo por Potencia Activa de Generación en HP</t>
  </si>
  <si>
    <t>Arequipa</t>
  </si>
  <si>
    <t>Abril</t>
  </si>
  <si>
    <t>S/.//kWh</t>
  </si>
  <si>
    <t>mes</t>
  </si>
  <si>
    <t>S/./kWh</t>
  </si>
  <si>
    <t>kWhe</t>
  </si>
  <si>
    <t>kWht</t>
  </si>
  <si>
    <t>S/./kWh(t)</t>
  </si>
  <si>
    <t>perosna</t>
  </si>
  <si>
    <t>kwh/p</t>
  </si>
  <si>
    <t>kWhe/soles fact</t>
  </si>
  <si>
    <t>S/m2</t>
  </si>
  <si>
    <t>S/soles fact</t>
  </si>
  <si>
    <t>electric</t>
  </si>
  <si>
    <t>CO2/sol fact</t>
  </si>
  <si>
    <t>promedio</t>
  </si>
  <si>
    <t>potencia medida</t>
  </si>
  <si>
    <t>placa</t>
  </si>
  <si>
    <t>FC</t>
  </si>
  <si>
    <t>corriente base</t>
  </si>
  <si>
    <t>L1/L2</t>
  </si>
  <si>
    <t xml:space="preserve">L2/L3 </t>
  </si>
  <si>
    <t>L3/L1</t>
  </si>
  <si>
    <t>Fase Balanceada</t>
  </si>
  <si>
    <t>Máquinas</t>
  </si>
  <si>
    <t>In</t>
  </si>
  <si>
    <t>Cargo por Potencia Activa de Distribución en HP</t>
  </si>
  <si>
    <t>Ayacucho</t>
  </si>
  <si>
    <t>MT3</t>
  </si>
  <si>
    <t>Mayo</t>
  </si>
  <si>
    <t>Cargo por Exceso de Potencia Activa de Distribución en HFP</t>
  </si>
  <si>
    <t xml:space="preserve"> Cajamarca</t>
  </si>
  <si>
    <t>MT4</t>
  </si>
  <si>
    <t>Cargo por Energía Reactiva que exceda el 30% del total de la Energía Activa</t>
  </si>
  <si>
    <t xml:space="preserve"> Callao</t>
  </si>
  <si>
    <t>BT5A</t>
  </si>
  <si>
    <t>Cusco</t>
  </si>
  <si>
    <t>Agosto</t>
  </si>
  <si>
    <t>2 ENERGIAS + 1 POTENCIA</t>
  </si>
  <si>
    <t>BT 3</t>
  </si>
  <si>
    <t xml:space="preserve">2 ENERGIAS </t>
  </si>
  <si>
    <t>Huancavelica</t>
  </si>
  <si>
    <t>BT5F</t>
  </si>
  <si>
    <t>Setiembre</t>
  </si>
  <si>
    <t>Huanuco</t>
  </si>
  <si>
    <t>Octubre</t>
  </si>
  <si>
    <t>20 kW en HP y HFP</t>
  </si>
  <si>
    <t>Ica</t>
  </si>
  <si>
    <t>Noviembre</t>
  </si>
  <si>
    <t>Junín</t>
  </si>
  <si>
    <t>Diciembre</t>
  </si>
  <si>
    <t>Cargo por Potencia Activa de generación para Usuarios:</t>
  </si>
  <si>
    <t>La Libertad</t>
  </si>
  <si>
    <t>     Presentes en Punta</t>
  </si>
  <si>
    <t>Cargo por exceso de potencia en HFP</t>
  </si>
  <si>
    <t>Lambayeque</t>
  </si>
  <si>
    <t>     Presentes Fuera de Punta</t>
  </si>
  <si>
    <t>20 kW en HP y 50kW HFP</t>
  </si>
  <si>
    <t>Lima</t>
  </si>
  <si>
    <t>Cargo por Potencia Activa de redes de distribución para Usuarios:</t>
  </si>
  <si>
    <t>Loreto</t>
  </si>
  <si>
    <t>Madre de Dios</t>
  </si>
  <si>
    <t xml:space="preserve"> Moquegua</t>
  </si>
  <si>
    <t>kwht/soles fatc</t>
  </si>
  <si>
    <t>Pasco</t>
  </si>
  <si>
    <t>Balon de 10kg</t>
  </si>
  <si>
    <t>m3 GN</t>
  </si>
  <si>
    <t>1 BTU</t>
  </si>
  <si>
    <t>Piura</t>
  </si>
  <si>
    <t>Balon de 45kg</t>
  </si>
  <si>
    <t>1ENERGIA + 1 POTENCIA</t>
  </si>
  <si>
    <t>1ENERGIA</t>
  </si>
  <si>
    <t>Puno</t>
  </si>
  <si>
    <t>San Martín</t>
  </si>
  <si>
    <t>1 m3 GN</t>
  </si>
  <si>
    <t>2.16tCO2/m3</t>
  </si>
  <si>
    <t>Cargo por Energía Activa</t>
  </si>
  <si>
    <t>20 kW</t>
  </si>
  <si>
    <t>Tacna</t>
  </si>
  <si>
    <t>1 gl de Diesel</t>
  </si>
  <si>
    <t>Debajo de 140kWh</t>
  </si>
  <si>
    <t xml:space="preserve"> Tumbes</t>
  </si>
  <si>
    <t>1gl de GLP</t>
  </si>
  <si>
    <t xml:space="preserve"> Ucayali</t>
  </si>
  <si>
    <t>Encima de 140kWh</t>
  </si>
  <si>
    <t>cantidad</t>
  </si>
  <si>
    <t>horas</t>
  </si>
  <si>
    <t>dias x semana</t>
  </si>
  <si>
    <t>kWh/mes</t>
  </si>
  <si>
    <t xml:space="preserve">2 ENERGIA </t>
  </si>
  <si>
    <t>10 kW</t>
  </si>
  <si>
    <t>consumo energia e</t>
  </si>
  <si>
    <t>c.energ.t</t>
  </si>
  <si>
    <t>venta x unidad</t>
  </si>
  <si>
    <t>kWh(e)</t>
  </si>
  <si>
    <t>kWh(t)</t>
  </si>
  <si>
    <t>produccion</t>
  </si>
  <si>
    <t>venta</t>
  </si>
  <si>
    <t>proyectado</t>
  </si>
  <si>
    <t>proyect</t>
  </si>
  <si>
    <t>Promedio</t>
  </si>
  <si>
    <t>kwh(t) / unidad de produccion</t>
  </si>
  <si>
    <t>Otros</t>
  </si>
  <si>
    <t>kWh(e)  /unidad de producción</t>
  </si>
  <si>
    <t>Resumen</t>
  </si>
  <si>
    <t>dias x sema</t>
  </si>
  <si>
    <t>Estadísticas de la regresión</t>
  </si>
  <si>
    <t>Coeficiente de correlación múltiple</t>
  </si>
  <si>
    <t>Coeficiente de determinación R^2</t>
  </si>
  <si>
    <t>R^2  ajustado</t>
  </si>
  <si>
    <t>Error típico</t>
  </si>
  <si>
    <t>ANÁLISIS DE VARIANZA</t>
  </si>
  <si>
    <t>Grados de libertad</t>
  </si>
  <si>
    <t>Suma de cuadrados</t>
  </si>
  <si>
    <t>Promedio de los cuadrados</t>
  </si>
  <si>
    <t>F</t>
  </si>
  <si>
    <t>Valor crítico de F</t>
  </si>
  <si>
    <t>Regresión</t>
  </si>
  <si>
    <t>Residuos</t>
  </si>
  <si>
    <t>Coeficientes</t>
  </si>
  <si>
    <t>Estadístico t</t>
  </si>
  <si>
    <t>Probabilidad</t>
  </si>
  <si>
    <t>Inferior 95%</t>
  </si>
  <si>
    <t>Superior 95%</t>
  </si>
  <si>
    <t>Intercepción</t>
  </si>
  <si>
    <t>Variable X 1</t>
  </si>
  <si>
    <t>Mejor Opción Tarifaria</t>
  </si>
  <si>
    <r>
      <t xml:space="preserve">E. R (KVArh) </t>
    </r>
    <r>
      <rPr>
        <sz val="11"/>
        <color rgb="FFFF0000"/>
        <rFont val="Arial"/>
        <family val="2"/>
        <scheme val="minor"/>
      </rPr>
      <t>Facturado</t>
    </r>
  </si>
  <si>
    <t>E. R (KVArh) Consumido</t>
  </si>
  <si>
    <t>HP</t>
  </si>
  <si>
    <t>FP</t>
  </si>
  <si>
    <t>Mes 1</t>
  </si>
  <si>
    <t>Mes 2</t>
  </si>
  <si>
    <t>Mes 3</t>
  </si>
  <si>
    <t>Mes 4</t>
  </si>
  <si>
    <t>Mes 5</t>
  </si>
  <si>
    <t>Mes 6</t>
  </si>
  <si>
    <t>Mes 7</t>
  </si>
  <si>
    <t>Mes 8</t>
  </si>
  <si>
    <t>Mes 9</t>
  </si>
  <si>
    <t>Mes 10</t>
  </si>
  <si>
    <t>Mes 11</t>
  </si>
  <si>
    <t>Mes 12</t>
  </si>
  <si>
    <t>Tarifa</t>
  </si>
  <si>
    <t>Importe</t>
  </si>
  <si>
    <t>Dias de facturación</t>
  </si>
  <si>
    <t>Domingos y feriados</t>
  </si>
  <si>
    <t>Número de horas punta  x dia</t>
  </si>
  <si>
    <t xml:space="preserve">Valor del mes 6 </t>
  </si>
  <si>
    <t>Considerando  los 6 meses</t>
  </si>
  <si>
    <t>Hacer Medición</t>
  </si>
  <si>
    <t>F.P</t>
  </si>
  <si>
    <t>BT 2</t>
  </si>
  <si>
    <t>E.A Punta</t>
  </si>
  <si>
    <t>Energia activa total</t>
  </si>
  <si>
    <t>HP&lt;140</t>
  </si>
  <si>
    <t>E.A Fpunta</t>
  </si>
  <si>
    <t>Pot.Genera. Pres HP/FP</t>
  </si>
  <si>
    <t>HFP&lt;140</t>
  </si>
  <si>
    <t>Pot. Distribucion  HP</t>
  </si>
  <si>
    <t>Pot. Distribucion  HP/FP</t>
  </si>
  <si>
    <t>HP&gt;140</t>
  </si>
  <si>
    <t>Exce. Pot. Distribu HFP</t>
  </si>
  <si>
    <t>Energia Reactiva</t>
  </si>
  <si>
    <t>HFP&gt;140</t>
  </si>
  <si>
    <t>mes actual</t>
  </si>
  <si>
    <t>mes de los 6 meses</t>
  </si>
  <si>
    <t>Pot. Genera HP</t>
  </si>
  <si>
    <t>Excede Potencia</t>
  </si>
  <si>
    <t>Dias de facturacion</t>
  </si>
  <si>
    <t>Exede 10 kW</t>
  </si>
  <si>
    <t>Numero de horas punta  x dia</t>
  </si>
  <si>
    <t>Horas punta mes</t>
  </si>
  <si>
    <t>S/./ Unidad de producción</t>
  </si>
  <si>
    <t>E. R (kVArh) Facturado</t>
  </si>
  <si>
    <t>Inferior 95.0%</t>
  </si>
  <si>
    <t>Superior 95.0%</t>
  </si>
  <si>
    <t>P.Medida-P.Placa</t>
  </si>
  <si>
    <t>energia anual</t>
  </si>
  <si>
    <t>costo de energia de mas</t>
  </si>
  <si>
    <t>Exceso pago energía anual</t>
  </si>
  <si>
    <r>
      <t>Equipos/máquinas que</t>
    </r>
    <r>
      <rPr>
        <sz val="11"/>
        <color theme="1"/>
        <rFont val="Arial"/>
        <family val="2"/>
        <scheme val="minor"/>
      </rPr>
      <t xml:space="preserve"> consumen energía </t>
    </r>
    <r>
      <rPr>
        <b/>
        <sz val="11"/>
        <color theme="1"/>
        <rFont val="Arial"/>
        <family val="2"/>
        <scheme val="minor"/>
      </rPr>
      <t>eléctrica</t>
    </r>
    <r>
      <rPr>
        <sz val="11"/>
        <color theme="1"/>
        <rFont val="Arial"/>
        <family val="2"/>
        <scheme val="minor"/>
      </rPr>
      <t xml:space="preserve"> como fuente principal</t>
    </r>
  </si>
  <si>
    <t>N°</t>
  </si>
  <si>
    <t>Equipo</t>
  </si>
  <si>
    <t>Horas uso/día</t>
  </si>
  <si>
    <t>Administración</t>
  </si>
  <si>
    <t>Iluminación</t>
  </si>
  <si>
    <t>W</t>
  </si>
  <si>
    <t>Area</t>
  </si>
  <si>
    <t>Incandescente</t>
  </si>
  <si>
    <t>Ahorrador</t>
  </si>
  <si>
    <t>Halógeno</t>
  </si>
  <si>
    <t>Fluorescente</t>
  </si>
  <si>
    <t>HID (descarga de alta intensidad)</t>
  </si>
  <si>
    <t>LED</t>
  </si>
  <si>
    <t>Dias /semana</t>
  </si>
  <si>
    <t>Propuesta de Cambio</t>
  </si>
  <si>
    <t>energia mes</t>
  </si>
  <si>
    <t>propuesta energia mes</t>
  </si>
  <si>
    <t>diferencia entre luminarias</t>
  </si>
  <si>
    <t>Precio /unidad (S/.)</t>
  </si>
  <si>
    <t>Inversion luminarias</t>
  </si>
  <si>
    <t>inversion</t>
  </si>
  <si>
    <t>años</t>
  </si>
  <si>
    <t>meses</t>
  </si>
  <si>
    <t>AREA</t>
  </si>
  <si>
    <t>PROPUESTA DE ILUMINACION</t>
  </si>
  <si>
    <t>INVERSION</t>
  </si>
  <si>
    <t>T. DE RECUPERACION (MESES)</t>
  </si>
  <si>
    <t>T. DE VIDA (AÑOS)</t>
  </si>
  <si>
    <t>Selección</t>
  </si>
  <si>
    <t>Trujillo</t>
  </si>
  <si>
    <t>a</t>
  </si>
  <si>
    <t>ejemplo:</t>
  </si>
  <si>
    <t>Eléctrico</t>
  </si>
  <si>
    <t>Térmico</t>
  </si>
  <si>
    <t>elcetroriente</t>
  </si>
  <si>
    <t>Hora en Vacio/anual</t>
  </si>
  <si>
    <t>Medición de corriente con carga (A)</t>
  </si>
  <si>
    <t>Medición de corriente en vacio (A)</t>
  </si>
  <si>
    <t>kg CO2 dejado de emitir /anual</t>
  </si>
  <si>
    <t>P.T</t>
  </si>
  <si>
    <t>P.M</t>
  </si>
  <si>
    <t>RUC / Registtro juridico</t>
  </si>
  <si>
    <t>Exede 20/50 kW</t>
  </si>
  <si>
    <r>
      <t>m</t>
    </r>
    <r>
      <rPr>
        <vertAlign val="superscript"/>
        <sz val="11"/>
        <color theme="1"/>
        <rFont val="Arial"/>
        <family val="2"/>
        <scheme val="minor"/>
      </rPr>
      <t xml:space="preserve">2 </t>
    </r>
  </si>
  <si>
    <t>Energía reactiva (kVArh)</t>
  </si>
  <si>
    <r>
      <t xml:space="preserve">tan φ </t>
    </r>
    <r>
      <rPr>
        <b/>
        <vertAlign val="subscript"/>
        <sz val="11"/>
        <color theme="1"/>
        <rFont val="Arial"/>
        <family val="2"/>
        <scheme val="minor"/>
      </rPr>
      <t>(= Factor f para Cos φ = 1,0)</t>
    </r>
  </si>
  <si>
    <r>
      <t>Potencia</t>
    </r>
    <r>
      <rPr>
        <vertAlign val="subscript"/>
        <sz val="11"/>
        <color theme="1"/>
        <rFont val="Arial"/>
        <family val="2"/>
        <scheme val="minor"/>
      </rPr>
      <t>FP</t>
    </r>
    <r>
      <rPr>
        <sz val="11"/>
        <color theme="1"/>
        <rFont val="Arial"/>
        <family val="2"/>
        <scheme val="minor"/>
      </rPr>
      <t xml:space="preserve"> (kW)</t>
    </r>
  </si>
  <si>
    <r>
      <t>Potencia</t>
    </r>
    <r>
      <rPr>
        <vertAlign val="subscript"/>
        <sz val="11"/>
        <color theme="1"/>
        <rFont val="Arial"/>
        <family val="2"/>
        <scheme val="minor"/>
      </rPr>
      <t>Condesador</t>
    </r>
    <r>
      <rPr>
        <sz val="11"/>
        <color theme="1"/>
        <rFont val="Arial"/>
        <family val="2"/>
        <scheme val="minor"/>
      </rPr>
      <t xml:space="preserve"> (kVAr)</t>
    </r>
  </si>
  <si>
    <t>Hora punta</t>
  </si>
  <si>
    <t>Fuera punta</t>
  </si>
  <si>
    <t>Permitida</t>
  </si>
  <si>
    <t>Facturada</t>
  </si>
  <si>
    <r>
      <t>ER</t>
    </r>
    <r>
      <rPr>
        <b/>
        <vertAlign val="subscript"/>
        <sz val="11"/>
        <color theme="1"/>
        <rFont val="Arial"/>
        <family val="2"/>
        <scheme val="minor"/>
      </rPr>
      <t>Total</t>
    </r>
    <r>
      <rPr>
        <b/>
        <sz val="11"/>
        <color theme="1"/>
        <rFont val="Arial"/>
        <family val="2"/>
        <scheme val="minor"/>
      </rPr>
      <t>/EA</t>
    </r>
    <r>
      <rPr>
        <b/>
        <vertAlign val="subscript"/>
        <sz val="11"/>
        <color theme="1"/>
        <rFont val="Arial"/>
        <family val="2"/>
        <scheme val="minor"/>
      </rPr>
      <t>FP</t>
    </r>
  </si>
  <si>
    <r>
      <t>ER</t>
    </r>
    <r>
      <rPr>
        <b/>
        <vertAlign val="subscript"/>
        <sz val="11"/>
        <color theme="1"/>
        <rFont val="Arial"/>
        <family val="2"/>
        <scheme val="minor"/>
      </rPr>
      <t>Total</t>
    </r>
    <r>
      <rPr>
        <b/>
        <sz val="11"/>
        <color theme="1"/>
        <rFont val="Arial"/>
        <family val="2"/>
        <scheme val="minor"/>
      </rPr>
      <t>/EA</t>
    </r>
    <r>
      <rPr>
        <b/>
        <vertAlign val="subscript"/>
        <sz val="11"/>
        <color theme="1"/>
        <rFont val="Arial"/>
        <family val="2"/>
        <scheme val="minor"/>
      </rPr>
      <t>Total</t>
    </r>
  </si>
  <si>
    <r>
      <t>En base a EA</t>
    </r>
    <r>
      <rPr>
        <vertAlign val="subscript"/>
        <sz val="11"/>
        <color theme="1"/>
        <rFont val="Arial"/>
        <family val="2"/>
        <scheme val="minor"/>
      </rPr>
      <t>FP</t>
    </r>
  </si>
  <si>
    <r>
      <t>En base a EA</t>
    </r>
    <r>
      <rPr>
        <vertAlign val="subscript"/>
        <sz val="11"/>
        <color theme="1"/>
        <rFont val="Arial"/>
        <family val="2"/>
        <scheme val="minor"/>
      </rPr>
      <t>Total</t>
    </r>
  </si>
  <si>
    <r>
      <t>Potencia</t>
    </r>
    <r>
      <rPr>
        <vertAlign val="subscript"/>
        <sz val="11"/>
        <color theme="1"/>
        <rFont val="Arial"/>
        <family val="2"/>
        <scheme val="minor"/>
      </rPr>
      <t>Max</t>
    </r>
    <r>
      <rPr>
        <sz val="11"/>
        <color theme="1"/>
        <rFont val="Arial"/>
        <family val="2"/>
        <scheme val="minor"/>
      </rPr>
      <t xml:space="preserve"> (kW)</t>
    </r>
  </si>
  <si>
    <t>Potencia (kVAr)</t>
  </si>
  <si>
    <t>Precio (S/.)</t>
  </si>
  <si>
    <t>Soles</t>
  </si>
  <si>
    <t>Reactiva</t>
  </si>
  <si>
    <t>Amortización estática (meses)</t>
  </si>
  <si>
    <t>Este valor es calculado con los datos del recibo (NO tocar)</t>
  </si>
  <si>
    <t xml:space="preserve">Este valor se debe colocar, buscar el precio aproximado de un Bco. de Compensación de </t>
  </si>
  <si>
    <t>kVAr</t>
  </si>
  <si>
    <t>Banco de compensación (kVAr)</t>
  </si>
  <si>
    <t>Precio aproximado</t>
  </si>
  <si>
    <t>-</t>
  </si>
  <si>
    <t>Duración (Años)</t>
  </si>
  <si>
    <t>Autarquía (%)</t>
  </si>
  <si>
    <t>Aumento anual de precios (%/a)</t>
  </si>
  <si>
    <t>Ciudad</t>
  </si>
  <si>
    <t>Potencia del SFV (kWp)</t>
  </si>
  <si>
    <r>
      <t>Rendimiento anual del SFV (kWh/kW</t>
    </r>
    <r>
      <rPr>
        <b/>
        <vertAlign val="subscript"/>
        <sz val="11"/>
        <color rgb="FF000000"/>
        <rFont val="Arial"/>
        <family val="2"/>
        <scheme val="minor"/>
      </rPr>
      <t>p</t>
    </r>
    <r>
      <rPr>
        <b/>
        <sz val="11"/>
        <color indexed="8"/>
        <rFont val="Arial"/>
        <family val="2"/>
        <scheme val="minor"/>
      </rPr>
      <t>)</t>
    </r>
  </si>
  <si>
    <t>Rendimiento anual del SFV (kWh/a)</t>
  </si>
  <si>
    <t>Consumo anual de energía eléctrica</t>
  </si>
  <si>
    <t>Autoconsumo</t>
  </si>
  <si>
    <t>Compra de la red eléctrica</t>
  </si>
  <si>
    <t>Precio actual de energía eléctrica (USD/kWh)</t>
  </si>
  <si>
    <t>Precio promedio de energía eléctrica (USD/kWh)</t>
  </si>
  <si>
    <t>Tarifa de inyección a la red (USD/kWh)</t>
  </si>
  <si>
    <r>
      <t>Precio de adquisición de SFV (USD/kW</t>
    </r>
    <r>
      <rPr>
        <b/>
        <vertAlign val="subscript"/>
        <sz val="11"/>
        <color rgb="FF000000"/>
        <rFont val="Arial"/>
        <family val="2"/>
        <scheme val="minor"/>
      </rPr>
      <t>p</t>
    </r>
    <r>
      <rPr>
        <b/>
        <sz val="11"/>
        <color indexed="8"/>
        <rFont val="Arial"/>
        <family val="2"/>
        <scheme val="minor"/>
      </rPr>
      <t>)</t>
    </r>
  </si>
  <si>
    <t>Precio del Sistema SFV (USD)</t>
  </si>
  <si>
    <t>Con SFV</t>
  </si>
  <si>
    <t>Costos de adquisición</t>
  </si>
  <si>
    <t>Venta a la red</t>
  </si>
  <si>
    <t>Costos de compra a la red</t>
  </si>
  <si>
    <t>En total de duración (USD)</t>
  </si>
  <si>
    <t>Mensual (USD)</t>
  </si>
  <si>
    <t>Sin SFV</t>
  </si>
  <si>
    <t>En total (USD)</t>
  </si>
  <si>
    <t>Ahorro de generación con SFV</t>
  </si>
  <si>
    <t>Amortización</t>
  </si>
  <si>
    <t>Amortización (meses)</t>
  </si>
  <si>
    <t>Amortización (Años)</t>
  </si>
  <si>
    <t>Moyobamba</t>
  </si>
  <si>
    <t>% de energia cubierta por SFV</t>
  </si>
  <si>
    <t>Costo SFV (USD)</t>
  </si>
  <si>
    <t>Potencia SFV  (kWp)</t>
  </si>
  <si>
    <t>Ahorro total en la vida del SFV (USD)</t>
  </si>
  <si>
    <t>% de energia cubierta por SFV vs EHFP</t>
  </si>
  <si>
    <t>SFV on Grid sin bateria</t>
  </si>
  <si>
    <t xml:space="preserve">Tipo de Cambio USD </t>
  </si>
  <si>
    <t>Sede:</t>
  </si>
  <si>
    <t>Extracto de Factura</t>
  </si>
  <si>
    <t>Rubro:</t>
  </si>
  <si>
    <r>
      <t>EA</t>
    </r>
    <r>
      <rPr>
        <b/>
        <vertAlign val="subscript"/>
        <sz val="11"/>
        <color rgb="FFC00000"/>
        <rFont val="Arial"/>
        <family val="2"/>
        <scheme val="minor"/>
      </rPr>
      <t>FP</t>
    </r>
    <r>
      <rPr>
        <b/>
        <sz val="11"/>
        <color rgb="FFC00000"/>
        <rFont val="Arial"/>
        <family val="2"/>
        <scheme val="minor"/>
      </rPr>
      <t xml:space="preserve"> (kWh)</t>
    </r>
  </si>
  <si>
    <r>
      <t>EA</t>
    </r>
    <r>
      <rPr>
        <b/>
        <vertAlign val="subscript"/>
        <sz val="11"/>
        <color theme="1"/>
        <rFont val="Arial"/>
        <family val="2"/>
        <scheme val="minor"/>
      </rPr>
      <t>HP</t>
    </r>
    <r>
      <rPr>
        <b/>
        <sz val="11"/>
        <color theme="1"/>
        <rFont val="Arial"/>
        <family val="2"/>
        <scheme val="minor"/>
      </rPr>
      <t xml:space="preserve"> (kWh)</t>
    </r>
  </si>
  <si>
    <t>ER (kVAR)</t>
  </si>
  <si>
    <r>
      <t>P</t>
    </r>
    <r>
      <rPr>
        <b/>
        <vertAlign val="subscript"/>
        <sz val="11"/>
        <color theme="1"/>
        <rFont val="Arial"/>
        <family val="2"/>
        <scheme val="minor"/>
      </rPr>
      <t>GPP</t>
    </r>
    <r>
      <rPr>
        <b/>
        <sz val="11"/>
        <color theme="1"/>
        <rFont val="Arial"/>
        <family val="2"/>
        <scheme val="minor"/>
      </rPr>
      <t xml:space="preserve"> (kW)</t>
    </r>
  </si>
  <si>
    <r>
      <t>P</t>
    </r>
    <r>
      <rPr>
        <b/>
        <vertAlign val="subscript"/>
        <sz val="11"/>
        <color rgb="FF0070C0"/>
        <rFont val="Arial"/>
        <family val="2"/>
        <scheme val="minor"/>
      </rPr>
      <t>DFP</t>
    </r>
    <r>
      <rPr>
        <b/>
        <sz val="11"/>
        <color rgb="FF0070C0"/>
        <rFont val="Arial"/>
        <family val="2"/>
        <scheme val="minor"/>
      </rPr>
      <t xml:space="preserve"> (kW)</t>
    </r>
  </si>
  <si>
    <t>Consumo Facturado:</t>
  </si>
  <si>
    <t>Precio Unitario (S/.):</t>
  </si>
  <si>
    <t>Importe Parcial (S/.):</t>
  </si>
  <si>
    <t>Cálculos</t>
  </si>
  <si>
    <t>2. Cálculo del precio por kWh de SFV considerando un factor de variabilidad de la potencia del SFV</t>
  </si>
  <si>
    <t>Duda: Se debe considerar sólo el precio de la energía que se suple con el SFV, o también el precio de la potencia que se coloca a disposición. Esta potencia reduce la potencia que se toma de la conexión a la red y por ende implica una reducción de ese costo específico por kW de potencia.</t>
  </si>
  <si>
    <t>Opciones</t>
  </si>
  <si>
    <r>
      <t>P</t>
    </r>
    <r>
      <rPr>
        <b/>
        <vertAlign val="subscript"/>
        <sz val="11"/>
        <color rgb="FF00B050"/>
        <rFont val="Arial"/>
        <family val="2"/>
        <scheme val="minor"/>
      </rPr>
      <t>SFV-FP</t>
    </r>
    <r>
      <rPr>
        <b/>
        <sz val="11"/>
        <color rgb="FF00B050"/>
        <rFont val="Arial"/>
        <family val="2"/>
        <scheme val="minor"/>
      </rPr>
      <t xml:space="preserve"> (S/.)</t>
    </r>
  </si>
  <si>
    <r>
      <t>FVP</t>
    </r>
    <r>
      <rPr>
        <b/>
        <vertAlign val="subscript"/>
        <sz val="11"/>
        <color theme="1"/>
        <rFont val="Arial"/>
        <family val="2"/>
        <scheme val="minor"/>
      </rPr>
      <t>SFV</t>
    </r>
  </si>
  <si>
    <t>Comentarios</t>
  </si>
  <si>
    <r>
      <t>Opción 1 (EA</t>
    </r>
    <r>
      <rPr>
        <vertAlign val="subscript"/>
        <sz val="11"/>
        <color theme="1"/>
        <rFont val="Arial"/>
        <family val="2"/>
        <scheme val="minor"/>
      </rPr>
      <t>FP</t>
    </r>
    <r>
      <rPr>
        <sz val="11"/>
        <color theme="1"/>
        <rFont val="Arial"/>
        <family val="2"/>
        <scheme val="minor"/>
      </rPr>
      <t>)</t>
    </r>
  </si>
  <si>
    <t>El precio de kWh es igual y solamente se considera la energía</t>
  </si>
  <si>
    <r>
      <t>Opción 2 (FA</t>
    </r>
    <r>
      <rPr>
        <vertAlign val="subscript"/>
        <sz val="11"/>
        <color theme="1"/>
        <rFont val="Arial"/>
        <family val="2"/>
        <scheme val="minor"/>
      </rPr>
      <t>FP</t>
    </r>
    <r>
      <rPr>
        <sz val="11"/>
        <color theme="1"/>
        <rFont val="Arial"/>
        <family val="2"/>
        <scheme val="minor"/>
      </rPr>
      <t xml:space="preserve"> + P</t>
    </r>
    <r>
      <rPr>
        <vertAlign val="subscript"/>
        <sz val="11"/>
        <color theme="1"/>
        <rFont val="Arial"/>
        <family val="2"/>
        <scheme val="minor"/>
      </rPr>
      <t>SFV-5kWp-FP</t>
    </r>
    <r>
      <rPr>
        <sz val="11"/>
        <color theme="1"/>
        <rFont val="Arial"/>
        <family val="2"/>
        <scheme val="minor"/>
      </rPr>
      <t>)</t>
    </r>
  </si>
  <si>
    <r>
      <t>Adicional se considera la potencia colocada a disposición a un factor FV</t>
    </r>
    <r>
      <rPr>
        <vertAlign val="subscript"/>
        <sz val="11"/>
        <color theme="1"/>
        <rFont val="Arial"/>
        <family val="2"/>
        <scheme val="minor"/>
      </rPr>
      <t>SFV</t>
    </r>
    <r>
      <rPr>
        <sz val="11"/>
        <color theme="1"/>
        <rFont val="Arial"/>
        <family val="2"/>
        <scheme val="minor"/>
      </rPr>
      <t xml:space="preserve"> por variabilidad de la potencia nominal entregable por el SFV. </t>
    </r>
    <r>
      <rPr>
        <sz val="11"/>
        <color rgb="FFC00000"/>
        <rFont val="Arial"/>
        <family val="2"/>
        <scheme val="minor"/>
      </rPr>
      <t>Este factor es elegible.</t>
    </r>
  </si>
  <si>
    <r>
      <t>Opción 2 (FA</t>
    </r>
    <r>
      <rPr>
        <vertAlign val="subscript"/>
        <sz val="11"/>
        <color theme="1"/>
        <rFont val="Arial"/>
        <family val="2"/>
        <scheme val="minor"/>
      </rPr>
      <t>FP</t>
    </r>
    <r>
      <rPr>
        <sz val="11"/>
        <color theme="1"/>
        <rFont val="Arial"/>
        <family val="2"/>
        <scheme val="minor"/>
      </rPr>
      <t xml:space="preserve"> + P</t>
    </r>
    <r>
      <rPr>
        <vertAlign val="subscript"/>
        <sz val="11"/>
        <color theme="1"/>
        <rFont val="Arial"/>
        <family val="2"/>
        <scheme val="minor"/>
      </rPr>
      <t>SFV-15kWp-FP</t>
    </r>
    <r>
      <rPr>
        <sz val="11"/>
        <color theme="1"/>
        <rFont val="Arial"/>
        <family val="2"/>
        <scheme val="minor"/>
      </rPr>
      <t>)</t>
    </r>
  </si>
  <si>
    <r>
      <t>Opción 2 (FA</t>
    </r>
    <r>
      <rPr>
        <vertAlign val="subscript"/>
        <sz val="11"/>
        <color theme="1"/>
        <rFont val="Arial"/>
        <family val="2"/>
        <scheme val="minor"/>
      </rPr>
      <t>FP</t>
    </r>
    <r>
      <rPr>
        <sz val="11"/>
        <color theme="1"/>
        <rFont val="Arial"/>
        <family val="2"/>
        <scheme val="minor"/>
      </rPr>
      <t xml:space="preserve"> + P</t>
    </r>
    <r>
      <rPr>
        <vertAlign val="subscript"/>
        <sz val="11"/>
        <color theme="1"/>
        <rFont val="Arial"/>
        <family val="2"/>
        <scheme val="minor"/>
      </rPr>
      <t>SFV-30kWp-FP</t>
    </r>
    <r>
      <rPr>
        <sz val="11"/>
        <color theme="1"/>
        <rFont val="Arial"/>
        <family val="2"/>
        <scheme val="minor"/>
      </rPr>
      <t>)</t>
    </r>
  </si>
  <si>
    <t>1. Cálculo del precio por kWh de SFV considerando la relación de la potencia nominal del SFV / potencia que se obtiene de la red.</t>
  </si>
  <si>
    <t>Precio Unitario (S/.)</t>
  </si>
  <si>
    <r>
      <t>P</t>
    </r>
    <r>
      <rPr>
        <vertAlign val="subscript"/>
        <sz val="11"/>
        <color theme="1"/>
        <rFont val="Arial"/>
        <family val="2"/>
        <scheme val="minor"/>
      </rPr>
      <t>SFV</t>
    </r>
    <r>
      <rPr>
        <sz val="11"/>
        <color theme="1"/>
        <rFont val="Arial"/>
        <family val="2"/>
        <scheme val="minor"/>
      </rPr>
      <t xml:space="preserve"> (kWp)</t>
    </r>
  </si>
  <si>
    <r>
      <t>P</t>
    </r>
    <r>
      <rPr>
        <vertAlign val="subscript"/>
        <sz val="11"/>
        <color theme="1"/>
        <rFont val="Arial"/>
        <family val="2"/>
        <scheme val="minor"/>
      </rPr>
      <t>SFV-5kWp</t>
    </r>
    <r>
      <rPr>
        <sz val="11"/>
        <color theme="1"/>
        <rFont val="Arial"/>
        <family val="2"/>
        <scheme val="minor"/>
      </rPr>
      <t xml:space="preserve"> / P</t>
    </r>
    <r>
      <rPr>
        <vertAlign val="subscript"/>
        <sz val="11"/>
        <color theme="1"/>
        <rFont val="Arial"/>
        <family val="2"/>
        <scheme val="minor"/>
      </rPr>
      <t>DFP</t>
    </r>
  </si>
  <si>
    <r>
      <t>Se considera un precio por la potencia nominal en relación al precio de la potencia facturada. La potencia del SFV nominal sobre la potencia de distribución fuera de punta (P</t>
    </r>
    <r>
      <rPr>
        <vertAlign val="subscript"/>
        <sz val="11"/>
        <color theme="1"/>
        <rFont val="Arial"/>
        <family val="2"/>
        <scheme val="minor"/>
      </rPr>
      <t>DFP</t>
    </r>
    <r>
      <rPr>
        <sz val="11"/>
        <color theme="1"/>
        <rFont val="Arial"/>
        <family val="2"/>
        <scheme val="minor"/>
      </rPr>
      <t>) se multiplica por el precio unitario de la potencia de distribución fuera de punta (P</t>
    </r>
    <r>
      <rPr>
        <vertAlign val="subscript"/>
        <sz val="11"/>
        <color theme="1"/>
        <rFont val="Arial"/>
        <family val="2"/>
        <scheme val="minor"/>
      </rPr>
      <t>DFP</t>
    </r>
    <r>
      <rPr>
        <sz val="11"/>
        <color theme="1"/>
        <rFont val="Arial"/>
        <family val="2"/>
        <scheme val="minor"/>
      </rPr>
      <t xml:space="preserve">). </t>
    </r>
  </si>
  <si>
    <r>
      <t>P</t>
    </r>
    <r>
      <rPr>
        <vertAlign val="subscript"/>
        <sz val="11"/>
        <color theme="1"/>
        <rFont val="Arial"/>
        <family val="2"/>
        <scheme val="minor"/>
      </rPr>
      <t>SFV-5kWp</t>
    </r>
  </si>
  <si>
    <r>
      <t>P</t>
    </r>
    <r>
      <rPr>
        <vertAlign val="subscript"/>
        <sz val="11"/>
        <color theme="1"/>
        <rFont val="Arial"/>
        <family val="2"/>
        <scheme val="minor"/>
      </rPr>
      <t>SFV-15kWp</t>
    </r>
  </si>
  <si>
    <r>
      <t>P</t>
    </r>
    <r>
      <rPr>
        <vertAlign val="subscript"/>
        <sz val="11"/>
        <color theme="1"/>
        <rFont val="Arial"/>
        <family val="2"/>
        <scheme val="minor"/>
      </rPr>
      <t>SFV-30kWp</t>
    </r>
  </si>
  <si>
    <t>EAFP (kWh)</t>
  </si>
  <si>
    <t>EAHP (kWh)</t>
  </si>
  <si>
    <t>PGPP (kW)</t>
  </si>
  <si>
    <t>PDFP (kW)</t>
  </si>
  <si>
    <t>EAHFP</t>
  </si>
  <si>
    <t>PDHFP</t>
  </si>
  <si>
    <t>precio</t>
  </si>
  <si>
    <t>Consumido promedio año</t>
  </si>
  <si>
    <t>Precio Unitario (USD/. / kWh)</t>
  </si>
  <si>
    <t xml:space="preserve">8hr a 17hrs </t>
  </si>
  <si>
    <t>V</t>
  </si>
  <si>
    <t>Tensión</t>
  </si>
  <si>
    <t>Moquegua</t>
  </si>
  <si>
    <t>Ucayali</t>
  </si>
  <si>
    <t>electrosur</t>
  </si>
  <si>
    <t xml:space="preserve"> </t>
  </si>
  <si>
    <t>electrodunas</t>
  </si>
  <si>
    <t>puerto maldonado</t>
  </si>
  <si>
    <t>electro sur este</t>
  </si>
  <si>
    <t>pucallpa</t>
  </si>
  <si>
    <t>electro ucayali</t>
  </si>
  <si>
    <t xml:space="preserve">Piura </t>
  </si>
  <si>
    <t>electronoreste</t>
  </si>
  <si>
    <t>ICA</t>
  </si>
  <si>
    <t>Iquitos</t>
  </si>
  <si>
    <t>electro oriente</t>
  </si>
  <si>
    <t>Potencia Nominal</t>
  </si>
  <si>
    <t>Tipo de lámapara</t>
  </si>
  <si>
    <t>Cantidad (cuantos equipos)</t>
  </si>
  <si>
    <t>Unidad (medida usada de potencia)</t>
  </si>
  <si>
    <t>Tipo de lámpara</t>
  </si>
  <si>
    <t>Potencia de Placa</t>
  </si>
  <si>
    <t>Potencia   Nominal</t>
  </si>
  <si>
    <t>8hrs a 14hrs</t>
  </si>
  <si>
    <t>Cantidad (cuantas lámparas)</t>
  </si>
  <si>
    <t>Potencia calculada por medición de corriente (kW)</t>
  </si>
  <si>
    <t>Tiempo de vida de lámpara (H)</t>
  </si>
  <si>
    <t>Precio promedio</t>
  </si>
  <si>
    <t>USD/kWh</t>
  </si>
  <si>
    <t>Recuperación (años)</t>
  </si>
  <si>
    <t>Ingresos (USD/a)</t>
  </si>
  <si>
    <t>Rendimiento SFV (kWh/a)</t>
  </si>
  <si>
    <t>Con SFV (en base a costos y 20 años)</t>
  </si>
  <si>
    <t>Sin SFV (en base a costos y 20 años)</t>
  </si>
  <si>
    <r>
      <t xml:space="preserve">Amortización </t>
    </r>
    <r>
      <rPr>
        <b/>
        <sz val="16"/>
        <color rgb="FFFF0000"/>
        <rFont val="Arial"/>
        <family val="2"/>
        <scheme val="minor"/>
      </rPr>
      <t>(en base a ahorro y 20 años)</t>
    </r>
  </si>
  <si>
    <t>Ingresos (en base a ingresos por producción y precio de kWh)</t>
  </si>
  <si>
    <t>CONSIDERACIONES:</t>
  </si>
  <si>
    <t xml:space="preserve">Equivalencia de GEI =  </t>
  </si>
  <si>
    <t>kg CO2/kWh (sujeto a futuras actualizaciones). Pedir HC a: huellacarbonoperu@minam.gob.pe</t>
  </si>
  <si>
    <t>HC PERÚ</t>
  </si>
  <si>
    <t>Si actualiza la data de las siguientes opciones tarifarias, el cambio de tarifas según región ya no tendrán cambio alguno de manera automática, esto quiere decir que, indiferentemente de la región que se seleccione la tarifa que regirá es la que se modifique líneas abajo, dejando en claro que aún debe escoger la región donde se realiza el diagnóstico energético (de la lista desplegable - viñeta 1.GeneralesEmpresa) porque de esa manera se toma en cuenta la radiación solar.</t>
  </si>
  <si>
    <t>Recuperación (años)*</t>
  </si>
  <si>
    <t xml:space="preserve">*Amortizacón estática (en base a ingresos por producción y costo unitario promedio del kWh) </t>
  </si>
  <si>
    <t>Se considera únicamente módulos FV, inversor y controlador, con una instalación y estructura de tipo estándar</t>
  </si>
  <si>
    <t xml:space="preserve">*Se considera la eficiencia"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</si>
</sst>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S/&quot;\ * #,##0.00_-;\-&quot;S/&quot;\ * #,##0.00_-;_-&quot;S/&quot;\ * &quot;-&quot;??_-;_-@_-"/>
    <numFmt numFmtId="43" formatCode="_-* #,##0.00_-;\-* #,##0.00_-;_-* &quot;-&quot;??_-;_-@_-"/>
    <numFmt numFmtId="164" formatCode="_-&quot;S/&quot;* #,##0.00_-;\-&quot;S/&quot;* #,##0.00_-;_-&quot;S/&quot;* &quot;-&quot;??_-;_-@_-"/>
    <numFmt numFmtId="165" formatCode="0.000"/>
    <numFmt numFmtId="166" formatCode="[$-F800]dddd\,\ mmmm\ dd\,\ yyyy"/>
    <numFmt numFmtId="167" formatCode="0.0"/>
    <numFmt numFmtId="168" formatCode="_-[$€-2]* #,##0.00_-;_-[$€-2]* \(#,##0.00\)_-;_-[$€-2]* &quot;-&quot;??;_-@_-"/>
    <numFmt numFmtId="169" formatCode="0.0000"/>
    <numFmt numFmtId="170" formatCode="#,##0.0000\ _€"/>
    <numFmt numFmtId="171" formatCode="0.0%"/>
    <numFmt numFmtId="172" formatCode="_-* #,##0.000_-;\-* #,##0.000_-;_-* &quot;-&quot;??_-;_-@_-"/>
  </numFmts>
  <fonts count="76" x14ac:knownFonts="1">
    <font>
      <sz val="11"/>
      <color theme="1"/>
      <name val="Arial"/>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rgb="FFFF0000"/>
      <name val="Arial"/>
      <family val="2"/>
      <scheme val="minor"/>
    </font>
    <font>
      <b/>
      <sz val="11"/>
      <name val="Calibri"/>
      <family val="2"/>
    </font>
    <font>
      <sz val="8"/>
      <name val="Arial"/>
      <family val="2"/>
      <scheme val="minor"/>
    </font>
    <font>
      <b/>
      <sz val="14"/>
      <color theme="1"/>
      <name val="Arial"/>
      <family val="2"/>
      <scheme val="minor"/>
    </font>
    <font>
      <sz val="8"/>
      <color rgb="FF000000"/>
      <name val="Tahoma"/>
      <family val="2"/>
    </font>
    <font>
      <b/>
      <sz val="11"/>
      <color theme="1"/>
      <name val="Arial"/>
      <family val="2"/>
      <scheme val="minor"/>
    </font>
    <font>
      <b/>
      <sz val="12"/>
      <color theme="1"/>
      <name val="Arial"/>
      <family val="2"/>
      <scheme val="minor"/>
    </font>
    <font>
      <sz val="8"/>
      <name val="Arial"/>
      <family val="2"/>
      <scheme val="minor"/>
    </font>
    <font>
      <sz val="10"/>
      <color theme="1"/>
      <name val="Arial"/>
      <family val="2"/>
      <scheme val="minor"/>
    </font>
    <font>
      <sz val="8"/>
      <color theme="1"/>
      <name val="Arial"/>
      <family val="2"/>
      <scheme val="minor"/>
    </font>
    <font>
      <u/>
      <sz val="11"/>
      <color theme="10"/>
      <name val="Arial"/>
      <family val="2"/>
      <scheme val="minor"/>
    </font>
    <font>
      <b/>
      <sz val="9"/>
      <color theme="1"/>
      <name val="Arial"/>
      <family val="2"/>
      <scheme val="minor"/>
    </font>
    <font>
      <sz val="9"/>
      <color theme="1"/>
      <name val="Arial"/>
      <family val="2"/>
      <scheme val="minor"/>
    </font>
    <font>
      <b/>
      <u/>
      <sz val="11"/>
      <color theme="1"/>
      <name val="Arial"/>
      <family val="2"/>
      <scheme val="minor"/>
    </font>
    <font>
      <sz val="11"/>
      <color theme="0" tint="-0.499984740745262"/>
      <name val="Arial"/>
      <family val="2"/>
      <scheme val="minor"/>
    </font>
    <font>
      <sz val="11"/>
      <name val="Arial"/>
      <family val="2"/>
      <scheme val="minor"/>
    </font>
    <font>
      <i/>
      <sz val="11"/>
      <color theme="1"/>
      <name val="Arial"/>
      <family val="2"/>
      <scheme val="minor"/>
    </font>
    <font>
      <b/>
      <sz val="11"/>
      <color rgb="FFFF0000"/>
      <name val="Arial"/>
      <family val="2"/>
      <scheme val="minor"/>
    </font>
    <font>
      <b/>
      <sz val="10"/>
      <color rgb="FFFF0000"/>
      <name val="Arial"/>
      <family val="2"/>
      <scheme val="minor"/>
    </font>
    <font>
      <sz val="11"/>
      <color theme="0"/>
      <name val="Arial"/>
      <family val="2"/>
      <scheme val="minor"/>
    </font>
    <font>
      <vertAlign val="superscript"/>
      <sz val="11"/>
      <color theme="1"/>
      <name val="Arial"/>
      <family val="2"/>
      <scheme val="minor"/>
    </font>
    <font>
      <b/>
      <sz val="11"/>
      <color theme="0"/>
      <name val="Arial"/>
      <family val="2"/>
      <scheme val="minor"/>
    </font>
    <font>
      <b/>
      <vertAlign val="subscript"/>
      <sz val="11"/>
      <color theme="1"/>
      <name val="Arial"/>
      <family val="2"/>
      <scheme val="minor"/>
    </font>
    <font>
      <vertAlign val="subscript"/>
      <sz val="11"/>
      <color theme="1"/>
      <name val="Arial"/>
      <family val="2"/>
      <scheme val="minor"/>
    </font>
    <font>
      <sz val="11"/>
      <color indexed="8"/>
      <name val="Calibri"/>
      <family val="2"/>
    </font>
    <font>
      <b/>
      <sz val="11"/>
      <color indexed="8"/>
      <name val="Arial"/>
      <family val="2"/>
      <scheme val="minor"/>
    </font>
    <font>
      <sz val="11"/>
      <color indexed="8"/>
      <name val="Arial"/>
      <family val="2"/>
      <scheme val="minor"/>
    </font>
    <font>
      <sz val="11"/>
      <color indexed="14"/>
      <name val="Arial"/>
      <family val="2"/>
      <scheme val="minor"/>
    </font>
    <font>
      <b/>
      <vertAlign val="subscript"/>
      <sz val="11"/>
      <color rgb="FF000000"/>
      <name val="Arial"/>
      <family val="2"/>
      <scheme val="minor"/>
    </font>
    <font>
      <b/>
      <sz val="11"/>
      <color indexed="16"/>
      <name val="Arial"/>
      <family val="2"/>
      <scheme val="minor"/>
    </font>
    <font>
      <b/>
      <sz val="16"/>
      <color indexed="8"/>
      <name val="Arial"/>
      <family val="2"/>
      <scheme val="minor"/>
    </font>
    <font>
      <sz val="16"/>
      <color indexed="8"/>
      <name val="Arial"/>
      <family val="2"/>
      <scheme val="minor"/>
    </font>
    <font>
      <b/>
      <sz val="11"/>
      <color indexed="8"/>
      <name val="Calibri"/>
      <family val="2"/>
    </font>
    <font>
      <sz val="11"/>
      <color rgb="FF00B050"/>
      <name val="Arial"/>
      <family val="2"/>
      <scheme val="minor"/>
    </font>
    <font>
      <b/>
      <sz val="11"/>
      <color rgb="FFC00000"/>
      <name val="Arial"/>
      <family val="2"/>
      <scheme val="minor"/>
    </font>
    <font>
      <b/>
      <vertAlign val="subscript"/>
      <sz val="11"/>
      <color rgb="FFC00000"/>
      <name val="Arial"/>
      <family val="2"/>
      <scheme val="minor"/>
    </font>
    <font>
      <b/>
      <sz val="11"/>
      <color rgb="FF0070C0"/>
      <name val="Arial"/>
      <family val="2"/>
      <scheme val="minor"/>
    </font>
    <font>
      <b/>
      <vertAlign val="subscript"/>
      <sz val="11"/>
      <color rgb="FF0070C0"/>
      <name val="Arial"/>
      <family val="2"/>
      <scheme val="minor"/>
    </font>
    <font>
      <sz val="11"/>
      <color rgb="FF0070C0"/>
      <name val="Arial"/>
      <family val="2"/>
      <scheme val="minor"/>
    </font>
    <font>
      <sz val="11"/>
      <color rgb="FFC00000"/>
      <name val="Arial"/>
      <family val="2"/>
      <scheme val="minor"/>
    </font>
    <font>
      <b/>
      <sz val="11"/>
      <color rgb="FF00B050"/>
      <name val="Arial"/>
      <family val="2"/>
      <scheme val="minor"/>
    </font>
    <font>
      <b/>
      <vertAlign val="subscript"/>
      <sz val="11"/>
      <color rgb="FF00B050"/>
      <name val="Arial"/>
      <family val="2"/>
      <scheme val="minor"/>
    </font>
    <font>
      <b/>
      <sz val="8"/>
      <color rgb="FF000000"/>
      <name val="Tahoma"/>
      <family val="2"/>
    </font>
    <font>
      <b/>
      <sz val="16"/>
      <color rgb="FFFF0000"/>
      <name val="Arial"/>
      <family val="2"/>
      <scheme val="minor"/>
    </font>
    <font>
      <b/>
      <sz val="10"/>
      <color theme="1"/>
      <name val="Arial"/>
      <family val="2"/>
    </font>
    <font>
      <sz val="10"/>
      <color theme="1"/>
      <name val="Arial"/>
      <family val="2"/>
    </font>
  </fonts>
  <fills count="27">
    <fill>
      <patternFill patternType="none"/>
    </fill>
    <fill>
      <patternFill patternType="gray125"/>
    </fill>
    <fill>
      <patternFill patternType="solid">
        <fgColor rgb="FFFFFF00"/>
        <bgColor indexed="64"/>
      </patternFill>
    </fill>
    <fill>
      <patternFill patternType="solid">
        <fgColor theme="4" tint="0.39997558519241921"/>
        <bgColor rgb="FF0070C0"/>
      </patternFill>
    </fill>
    <fill>
      <patternFill patternType="solid">
        <fgColor theme="4" tint="0.39997558519241921"/>
        <bgColor indexed="64"/>
      </patternFill>
    </fill>
    <fill>
      <patternFill patternType="solid">
        <fgColor rgb="FFFFFFFF"/>
        <bgColor indexed="64"/>
      </patternFill>
    </fill>
    <fill>
      <patternFill patternType="solid">
        <fgColor rgb="FFF5F5DC"/>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79998168889431442"/>
        <bgColor indexed="64"/>
      </patternFill>
    </fill>
    <fill>
      <patternFill patternType="solid">
        <fgColor theme="2" tint="-4.9989318521683403E-2"/>
        <bgColor indexed="64"/>
      </patternFill>
    </fill>
    <fill>
      <patternFill patternType="lightGrid"/>
    </fill>
    <fill>
      <patternFill patternType="solid">
        <fgColor theme="0" tint="-4.9989318521683403E-2"/>
        <bgColor indexed="64"/>
      </patternFill>
    </fill>
    <fill>
      <patternFill patternType="solid">
        <fgColor theme="7" tint="0.59999389629810485"/>
        <bgColor indexed="64"/>
      </patternFill>
    </fill>
    <fill>
      <patternFill patternType="solid">
        <fgColor theme="5" tint="0.79998168889431442"/>
        <bgColor indexed="64"/>
      </patternFill>
    </fill>
    <fill>
      <patternFill patternType="darkDown">
        <bgColor theme="0" tint="-4.9989318521683403E-2"/>
      </patternFill>
    </fill>
    <fill>
      <patternFill patternType="darkGray"/>
    </fill>
    <fill>
      <patternFill patternType="solid">
        <fgColor rgb="FF00B0F0"/>
        <bgColor indexed="64"/>
      </patternFill>
    </fill>
    <fill>
      <patternFill patternType="solid">
        <fgColor theme="7" tint="0.79998168889431442"/>
        <bgColor indexed="64"/>
      </patternFill>
    </fill>
    <fill>
      <patternFill patternType="lightDown"/>
    </fill>
    <fill>
      <patternFill patternType="solid">
        <fgColor theme="0" tint="-0.14999847407452621"/>
        <bgColor indexed="64"/>
      </patternFill>
    </fill>
    <fill>
      <patternFill patternType="solid">
        <fgColor rgb="FFFF0000"/>
        <bgColor indexed="64"/>
      </patternFill>
    </fill>
    <fill>
      <patternFill patternType="solid">
        <fgColor theme="0"/>
        <bgColor indexed="64"/>
      </patternFill>
    </fill>
    <fill>
      <patternFill patternType="solid">
        <fgColor indexed="9"/>
        <bgColor auto="1"/>
      </patternFill>
    </fill>
    <fill>
      <patternFill patternType="solid">
        <fgColor theme="2" tint="-0.14999847407452621"/>
        <bgColor indexed="64"/>
      </patternFill>
    </fill>
    <fill>
      <patternFill patternType="solid">
        <fgColor rgb="FF92D050"/>
        <bgColor indexed="64"/>
      </patternFill>
    </fill>
    <fill>
      <patternFill patternType="solid">
        <fgColor theme="9" tint="0.79998168889431442"/>
        <bgColor indexed="64"/>
      </patternFill>
    </fill>
  </fills>
  <borders count="92">
    <border>
      <left/>
      <right/>
      <top/>
      <bottom/>
      <diagonal/>
    </border>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diagonal/>
    </border>
    <border>
      <left style="thin">
        <color indexed="64"/>
      </left>
      <right/>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medium">
        <color indexed="64"/>
      </top>
      <bottom/>
      <diagonal/>
    </border>
    <border>
      <left style="thin">
        <color indexed="10"/>
      </left>
      <right style="thin">
        <color indexed="10"/>
      </right>
      <top style="thin">
        <color indexed="10"/>
      </top>
      <bottom style="thin">
        <color indexed="11"/>
      </bottom>
      <diagonal/>
    </border>
    <border>
      <left style="thin">
        <color indexed="10"/>
      </left>
      <right style="thin">
        <color indexed="11"/>
      </right>
      <top style="thin">
        <color indexed="11"/>
      </top>
      <bottom style="thin">
        <color indexed="10"/>
      </bottom>
      <diagonal/>
    </border>
    <border>
      <left style="thin">
        <color indexed="11"/>
      </left>
      <right style="thin">
        <color indexed="10"/>
      </right>
      <top style="thin">
        <color indexed="11"/>
      </top>
      <bottom style="thin">
        <color indexed="13"/>
      </bottom>
      <diagonal/>
    </border>
    <border>
      <left style="thin">
        <color indexed="10"/>
      </left>
      <right style="thin">
        <color indexed="10"/>
      </right>
      <top style="thin">
        <color indexed="11"/>
      </top>
      <bottom style="thin">
        <color indexed="10"/>
      </bottom>
      <diagonal/>
    </border>
    <border>
      <left style="thin">
        <color indexed="10"/>
      </left>
      <right style="thin">
        <color indexed="13"/>
      </right>
      <top style="thin">
        <color indexed="10"/>
      </top>
      <bottom style="thin">
        <color indexed="10"/>
      </bottom>
      <diagonal/>
    </border>
    <border>
      <left style="thin">
        <color indexed="13"/>
      </left>
      <right style="thin">
        <color indexed="13"/>
      </right>
      <top style="thin">
        <color indexed="13"/>
      </top>
      <bottom style="thin">
        <color indexed="13"/>
      </bottom>
      <diagonal/>
    </border>
    <border>
      <left style="thin">
        <color indexed="13"/>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10"/>
      </left>
      <right/>
      <top style="thin">
        <color indexed="10"/>
      </top>
      <bottom style="thin">
        <color indexed="10"/>
      </bottom>
      <diagonal/>
    </border>
    <border>
      <left/>
      <right/>
      <top style="thin">
        <color indexed="13"/>
      </top>
      <bottom/>
      <diagonal/>
    </border>
    <border>
      <left/>
      <right style="thin">
        <color indexed="10"/>
      </right>
      <top style="thin">
        <color indexed="10"/>
      </top>
      <bottom style="thin">
        <color indexed="10"/>
      </bottom>
      <diagonal/>
    </border>
    <border>
      <left style="thin">
        <color indexed="10"/>
      </left>
      <right style="thin">
        <color indexed="11"/>
      </right>
      <top style="thin">
        <color indexed="10"/>
      </top>
      <bottom style="thin">
        <color indexed="10"/>
      </bottom>
      <diagonal/>
    </border>
    <border>
      <left style="thin">
        <color indexed="13"/>
      </left>
      <right style="thin">
        <color indexed="13"/>
      </right>
      <top style="thin">
        <color indexed="13"/>
      </top>
      <bottom style="thin">
        <color indexed="16"/>
      </bottom>
      <diagonal/>
    </border>
    <border>
      <left style="thin">
        <color indexed="10"/>
      </left>
      <right style="thin">
        <color indexed="16"/>
      </right>
      <top style="thin">
        <color indexed="10"/>
      </top>
      <bottom style="thin">
        <color indexed="10"/>
      </bottom>
      <diagonal/>
    </border>
    <border>
      <left style="thin">
        <color indexed="16"/>
      </left>
      <right style="thin">
        <color indexed="16"/>
      </right>
      <top style="thin">
        <color indexed="16"/>
      </top>
      <bottom style="thin">
        <color indexed="16"/>
      </bottom>
      <diagonal/>
    </border>
    <border>
      <left style="thin">
        <color indexed="11"/>
      </left>
      <right style="thin">
        <color indexed="10"/>
      </right>
      <top style="thin">
        <color indexed="16"/>
      </top>
      <bottom style="thin">
        <color indexed="10"/>
      </bottom>
      <diagonal/>
    </border>
    <border>
      <left style="thin">
        <color indexed="11"/>
      </left>
      <right style="thin">
        <color indexed="10"/>
      </right>
      <top style="thin">
        <color indexed="10"/>
      </top>
      <bottom style="thin">
        <color indexed="13"/>
      </bottom>
      <diagonal/>
    </border>
    <border>
      <left style="thin">
        <color indexed="16"/>
      </left>
      <right style="thin">
        <color indexed="16"/>
      </right>
      <top style="thin">
        <color indexed="16"/>
      </top>
      <bottom style="thin">
        <color indexed="13"/>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10"/>
      </left>
      <right style="thin">
        <color indexed="13"/>
      </right>
      <top style="thin">
        <color indexed="10"/>
      </top>
      <bottom/>
      <diagonal/>
    </border>
    <border>
      <left style="thin">
        <color indexed="13"/>
      </left>
      <right style="thin">
        <color indexed="13"/>
      </right>
      <top style="thin">
        <color indexed="13"/>
      </top>
      <bottom/>
      <diagonal/>
    </border>
    <border>
      <left style="thin">
        <color indexed="13"/>
      </left>
      <right style="thin">
        <color indexed="10"/>
      </right>
      <top style="thin">
        <color indexed="10"/>
      </top>
      <bottom/>
      <diagonal/>
    </border>
    <border>
      <left style="thin">
        <color indexed="10"/>
      </left>
      <right style="thin">
        <color indexed="10"/>
      </right>
      <top style="thin">
        <color indexed="10"/>
      </top>
      <bottom/>
      <diagonal/>
    </border>
    <border>
      <left style="thin">
        <color indexed="10"/>
      </left>
      <right style="thin">
        <color indexed="13"/>
      </right>
      <top/>
      <bottom style="thin">
        <color indexed="10"/>
      </bottom>
      <diagonal/>
    </border>
    <border>
      <left style="thin">
        <color indexed="13"/>
      </left>
      <right style="thin">
        <color indexed="13"/>
      </right>
      <top/>
      <bottom style="thin">
        <color indexed="13"/>
      </bottom>
      <diagonal/>
    </border>
    <border>
      <left style="thin">
        <color indexed="13"/>
      </left>
      <right style="thin">
        <color indexed="10"/>
      </right>
      <top/>
      <bottom style="thin">
        <color indexed="10"/>
      </bottom>
      <diagonal/>
    </border>
    <border>
      <left style="thin">
        <color indexed="10"/>
      </left>
      <right style="thin">
        <color indexed="10"/>
      </right>
      <top/>
      <bottom style="thin">
        <color indexed="10"/>
      </bottom>
      <diagonal/>
    </border>
    <border>
      <left style="medium">
        <color indexed="64"/>
      </left>
      <right style="thin">
        <color indexed="13"/>
      </right>
      <top style="medium">
        <color indexed="64"/>
      </top>
      <bottom style="thin">
        <color indexed="10"/>
      </bottom>
      <diagonal/>
    </border>
    <border>
      <left style="thin">
        <color indexed="13"/>
      </left>
      <right style="thin">
        <color indexed="13"/>
      </right>
      <top style="medium">
        <color indexed="64"/>
      </top>
      <bottom style="thin">
        <color indexed="13"/>
      </bottom>
      <diagonal/>
    </border>
    <border>
      <left style="thin">
        <color indexed="13"/>
      </left>
      <right style="thin">
        <color indexed="10"/>
      </right>
      <top style="medium">
        <color indexed="64"/>
      </top>
      <bottom style="thin">
        <color indexed="10"/>
      </bottom>
      <diagonal/>
    </border>
    <border>
      <left style="thin">
        <color indexed="10"/>
      </left>
      <right style="thin">
        <color indexed="10"/>
      </right>
      <top style="medium">
        <color indexed="64"/>
      </top>
      <bottom style="thin">
        <color indexed="10"/>
      </bottom>
      <diagonal/>
    </border>
    <border>
      <left style="thin">
        <color indexed="10"/>
      </left>
      <right style="medium">
        <color indexed="64"/>
      </right>
      <top style="medium">
        <color indexed="64"/>
      </top>
      <bottom style="thin">
        <color indexed="10"/>
      </bottom>
      <diagonal/>
    </border>
    <border>
      <left style="medium">
        <color indexed="64"/>
      </left>
      <right style="thin">
        <color indexed="13"/>
      </right>
      <top style="thin">
        <color indexed="10"/>
      </top>
      <bottom style="medium">
        <color indexed="64"/>
      </bottom>
      <diagonal/>
    </border>
    <border>
      <left style="thin">
        <color indexed="13"/>
      </left>
      <right style="thin">
        <color indexed="13"/>
      </right>
      <top style="thin">
        <color indexed="13"/>
      </top>
      <bottom style="medium">
        <color indexed="64"/>
      </bottom>
      <diagonal/>
    </border>
    <border>
      <left style="thin">
        <color indexed="13"/>
      </left>
      <right style="thin">
        <color indexed="10"/>
      </right>
      <top style="thin">
        <color indexed="10"/>
      </top>
      <bottom style="medium">
        <color indexed="64"/>
      </bottom>
      <diagonal/>
    </border>
    <border>
      <left style="thin">
        <color indexed="10"/>
      </left>
      <right style="thin">
        <color indexed="10"/>
      </right>
      <top style="thin">
        <color indexed="10"/>
      </top>
      <bottom style="medium">
        <color indexed="64"/>
      </bottom>
      <diagonal/>
    </border>
    <border>
      <left style="thin">
        <color indexed="10"/>
      </left>
      <right style="medium">
        <color indexed="64"/>
      </right>
      <top style="thin">
        <color indexed="10"/>
      </top>
      <bottom style="medium">
        <color indexed="64"/>
      </bottom>
      <diagonal/>
    </border>
  </borders>
  <cellStyleXfs count="26">
    <xf numFmtId="0" fontId="0" fillId="0" borderId="0"/>
    <xf numFmtId="164" fontId="29" fillId="0" borderId="0" applyFont="0" applyFill="0" applyBorder="0" applyAlignment="0" applyProtection="0"/>
    <xf numFmtId="0" fontId="28" fillId="0" borderId="1"/>
    <xf numFmtId="43" fontId="28" fillId="0" borderId="1" applyFont="0" applyFill="0" applyBorder="0" applyAlignment="0" applyProtection="0"/>
    <xf numFmtId="9" fontId="28" fillId="0" borderId="1" applyFont="0" applyFill="0" applyBorder="0" applyAlignment="0" applyProtection="0"/>
    <xf numFmtId="43" fontId="29" fillId="0" borderId="1" applyFont="0" applyFill="0" applyBorder="0" applyAlignment="0" applyProtection="0"/>
    <xf numFmtId="0" fontId="29" fillId="0" borderId="1"/>
    <xf numFmtId="164" fontId="29" fillId="0" borderId="1" applyFont="0" applyFill="0" applyBorder="0" applyAlignment="0" applyProtection="0"/>
    <xf numFmtId="164" fontId="28" fillId="0" borderId="1" applyFont="0" applyFill="0" applyBorder="0" applyAlignment="0" applyProtection="0"/>
    <xf numFmtId="0" fontId="27" fillId="0" borderId="1"/>
    <xf numFmtId="0" fontId="26" fillId="0" borderId="1"/>
    <xf numFmtId="9" fontId="26" fillId="0" borderId="1" applyFont="0" applyFill="0" applyBorder="0" applyAlignment="0" applyProtection="0"/>
    <xf numFmtId="43" fontId="29" fillId="0" borderId="0" applyFont="0" applyFill="0" applyBorder="0" applyAlignment="0" applyProtection="0"/>
    <xf numFmtId="9" fontId="29" fillId="0" borderId="0" applyFont="0" applyFill="0" applyBorder="0" applyAlignment="0" applyProtection="0"/>
    <xf numFmtId="0" fontId="40" fillId="0" borderId="0" applyNumberFormat="0" applyFill="0" applyBorder="0" applyAlignment="0" applyProtection="0"/>
    <xf numFmtId="0" fontId="29" fillId="0" borderId="1"/>
    <xf numFmtId="9" fontId="23" fillId="0" borderId="1" applyFont="0" applyFill="0" applyBorder="0" applyAlignment="0" applyProtection="0"/>
    <xf numFmtId="0" fontId="29" fillId="0" borderId="1"/>
    <xf numFmtId="0" fontId="29" fillId="0" borderId="1"/>
    <xf numFmtId="0" fontId="29" fillId="0" borderId="1"/>
    <xf numFmtId="0" fontId="29" fillId="0" borderId="1"/>
    <xf numFmtId="0" fontId="29" fillId="0" borderId="1"/>
    <xf numFmtId="0" fontId="29" fillId="0" borderId="1"/>
    <xf numFmtId="0" fontId="13" fillId="0" borderId="1"/>
    <xf numFmtId="0" fontId="54" fillId="0" borderId="1" applyNumberFormat="0" applyFill="0" applyBorder="0" applyProtection="0"/>
    <xf numFmtId="0" fontId="9" fillId="0" borderId="1"/>
  </cellStyleXfs>
  <cellXfs count="577">
    <xf numFmtId="0" fontId="0" fillId="0" borderId="0" xfId="0"/>
    <xf numFmtId="0" fontId="0" fillId="0" borderId="3" xfId="0" applyBorder="1"/>
    <xf numFmtId="0" fontId="31" fillId="3" borderId="3" xfId="10" applyFont="1" applyFill="1" applyBorder="1" applyAlignment="1">
      <alignment horizontal="center" vertical="center"/>
    </xf>
    <xf numFmtId="0" fontId="30" fillId="0" borderId="0" xfId="0" applyFont="1"/>
    <xf numFmtId="164" fontId="0" fillId="0" borderId="0" xfId="1" applyFont="1"/>
    <xf numFmtId="165" fontId="0" fillId="0" borderId="3" xfId="0" applyNumberFormat="1" applyBorder="1"/>
    <xf numFmtId="0" fontId="0" fillId="0" borderId="1" xfId="0" applyBorder="1"/>
    <xf numFmtId="0" fontId="0" fillId="0" borderId="2" xfId="0" applyBorder="1"/>
    <xf numFmtId="0" fontId="0" fillId="0" borderId="0" xfId="0" applyAlignment="1">
      <alignment horizontal="left"/>
    </xf>
    <xf numFmtId="164" fontId="0" fillId="0" borderId="3" xfId="1" applyFont="1" applyBorder="1"/>
    <xf numFmtId="0" fontId="0" fillId="2" borderId="3" xfId="0" applyFill="1" applyBorder="1"/>
    <xf numFmtId="44" fontId="0" fillId="0" borderId="0" xfId="0" applyNumberFormat="1"/>
    <xf numFmtId="164" fontId="0" fillId="2" borderId="3" xfId="1" applyFont="1" applyFill="1" applyBorder="1"/>
    <xf numFmtId="44" fontId="0" fillId="2" borderId="3" xfId="0" applyNumberFormat="1" applyFill="1" applyBorder="1"/>
    <xf numFmtId="164" fontId="0" fillId="0" borderId="4" xfId="1" applyFont="1" applyBorder="1"/>
    <xf numFmtId="164" fontId="0" fillId="0" borderId="1" xfId="0" applyNumberFormat="1" applyBorder="1"/>
    <xf numFmtId="0" fontId="0" fillId="0" borderId="1" xfId="0" applyBorder="1" applyAlignment="1">
      <alignment horizontal="right"/>
    </xf>
    <xf numFmtId="164" fontId="0" fillId="0" borderId="3" xfId="0" applyNumberFormat="1" applyBorder="1"/>
    <xf numFmtId="0" fontId="34" fillId="5" borderId="0" xfId="0" applyFont="1" applyFill="1" applyAlignment="1">
      <alignment vertical="center"/>
    </xf>
    <xf numFmtId="0" fontId="34" fillId="6" borderId="0" xfId="0" applyFont="1" applyFill="1" applyAlignment="1">
      <alignment vertical="center"/>
    </xf>
    <xf numFmtId="0" fontId="0" fillId="0" borderId="5" xfId="0" applyBorder="1"/>
    <xf numFmtId="0" fontId="0" fillId="7" borderId="0" xfId="0" applyFill="1"/>
    <xf numFmtId="0" fontId="31" fillId="3" borderId="6" xfId="10" applyFont="1" applyFill="1" applyBorder="1" applyAlignment="1">
      <alignment horizontal="center" vertical="center"/>
    </xf>
    <xf numFmtId="164" fontId="0" fillId="2" borderId="6" xfId="1" applyFont="1" applyFill="1" applyBorder="1"/>
    <xf numFmtId="44" fontId="0" fillId="2" borderId="6" xfId="0" applyNumberFormat="1" applyFill="1" applyBorder="1"/>
    <xf numFmtId="164" fontId="0" fillId="2" borderId="7" xfId="1" applyFont="1" applyFill="1" applyBorder="1"/>
    <xf numFmtId="0" fontId="0" fillId="0" borderId="8" xfId="0" applyBorder="1"/>
    <xf numFmtId="0" fontId="31" fillId="3" borderId="9" xfId="10" applyFont="1" applyFill="1" applyBorder="1" applyAlignment="1">
      <alignment horizontal="center" vertical="center"/>
    </xf>
    <xf numFmtId="164" fontId="0" fillId="2" borderId="10" xfId="1" applyFont="1" applyFill="1" applyBorder="1"/>
    <xf numFmtId="0" fontId="0" fillId="0" borderId="11" xfId="0" applyBorder="1"/>
    <xf numFmtId="44" fontId="0" fillId="2" borderId="12" xfId="0" applyNumberFormat="1" applyFill="1" applyBorder="1"/>
    <xf numFmtId="0" fontId="0" fillId="0" borderId="4" xfId="0" applyBorder="1"/>
    <xf numFmtId="0" fontId="0" fillId="8" borderId="0" xfId="0" applyFill="1"/>
    <xf numFmtId="0" fontId="31" fillId="3" borderId="13" xfId="10" applyFont="1" applyFill="1" applyBorder="1" applyAlignment="1">
      <alignment horizontal="center" vertical="center"/>
    </xf>
    <xf numFmtId="164" fontId="0" fillId="2" borderId="14" xfId="1" applyFont="1" applyFill="1" applyBorder="1"/>
    <xf numFmtId="44" fontId="0" fillId="2" borderId="15" xfId="0" applyNumberFormat="1" applyFill="1" applyBorder="1"/>
    <xf numFmtId="0" fontId="34" fillId="5" borderId="3" xfId="0" applyFont="1" applyFill="1" applyBorder="1" applyAlignment="1">
      <alignment vertical="center" wrapText="1"/>
    </xf>
    <xf numFmtId="0" fontId="34" fillId="6" borderId="3" xfId="0" applyFont="1" applyFill="1" applyBorder="1" applyAlignment="1">
      <alignment vertical="center" wrapText="1"/>
    </xf>
    <xf numFmtId="0" fontId="0" fillId="0" borderId="3" xfId="0" applyBorder="1" applyAlignment="1">
      <alignment horizontal="right"/>
    </xf>
    <xf numFmtId="0" fontId="34" fillId="6" borderId="3" xfId="0" applyFont="1" applyFill="1" applyBorder="1" applyAlignment="1">
      <alignment vertical="center"/>
    </xf>
    <xf numFmtId="0" fontId="34" fillId="5" borderId="3" xfId="0" applyFont="1" applyFill="1" applyBorder="1" applyAlignment="1">
      <alignment vertical="center"/>
    </xf>
    <xf numFmtId="0" fontId="0" fillId="2" borderId="3" xfId="0" applyFill="1" applyBorder="1" applyAlignment="1">
      <alignment horizontal="center"/>
    </xf>
    <xf numFmtId="0" fontId="35" fillId="0" borderId="3" xfId="0" applyFont="1" applyBorder="1" applyAlignment="1">
      <alignment horizontal="center"/>
    </xf>
    <xf numFmtId="0" fontId="35" fillId="0" borderId="6" xfId="0" applyFont="1" applyBorder="1" applyAlignment="1">
      <alignment horizontal="center"/>
    </xf>
    <xf numFmtId="44" fontId="0" fillId="2" borderId="19" xfId="0" applyNumberFormat="1" applyFill="1" applyBorder="1"/>
    <xf numFmtId="44" fontId="0" fillId="2" borderId="17" xfId="0" applyNumberFormat="1" applyFill="1" applyBorder="1"/>
    <xf numFmtId="0" fontId="0" fillId="0" borderId="3" xfId="0" applyBorder="1" applyAlignment="1">
      <alignment horizontal="center"/>
    </xf>
    <xf numFmtId="0" fontId="0" fillId="2" borderId="3" xfId="0" applyFill="1" applyBorder="1" applyAlignment="1">
      <alignment horizontal="left"/>
    </xf>
    <xf numFmtId="0" fontId="35" fillId="10" borderId="3" xfId="0" applyFont="1" applyFill="1" applyBorder="1"/>
    <xf numFmtId="0" fontId="35" fillId="10" borderId="3" xfId="0" applyFont="1" applyFill="1" applyBorder="1" applyAlignment="1">
      <alignment horizontal="left" vertical="center" wrapText="1"/>
    </xf>
    <xf numFmtId="0" fontId="35" fillId="10" borderId="3" xfId="0" applyFont="1" applyFill="1" applyBorder="1" applyAlignment="1">
      <alignment vertical="center"/>
    </xf>
    <xf numFmtId="1" fontId="35" fillId="10" borderId="3" xfId="0" applyNumberFormat="1" applyFont="1" applyFill="1" applyBorder="1"/>
    <xf numFmtId="17" fontId="0" fillId="0" borderId="0" xfId="0" applyNumberFormat="1"/>
    <xf numFmtId="164" fontId="39" fillId="0" borderId="3" xfId="1" applyFont="1" applyBorder="1"/>
    <xf numFmtId="17" fontId="0" fillId="2" borderId="3" xfId="0" applyNumberFormat="1" applyFill="1" applyBorder="1"/>
    <xf numFmtId="0" fontId="0" fillId="11" borderId="3" xfId="0" applyFill="1" applyBorder="1"/>
    <xf numFmtId="0" fontId="35" fillId="12" borderId="3" xfId="0" applyFont="1" applyFill="1" applyBorder="1" applyAlignment="1">
      <alignment horizontal="left"/>
    </xf>
    <xf numFmtId="0" fontId="35" fillId="12" borderId="3" xfId="0" applyFont="1" applyFill="1" applyBorder="1" applyAlignment="1">
      <alignment horizontal="left" vertical="center"/>
    </xf>
    <xf numFmtId="0" fontId="35" fillId="12" borderId="3" xfId="0" applyFont="1" applyFill="1" applyBorder="1" applyAlignment="1">
      <alignment horizontal="left" vertical="center" wrapText="1"/>
    </xf>
    <xf numFmtId="0" fontId="35" fillId="12" borderId="3" xfId="0" applyFont="1" applyFill="1" applyBorder="1"/>
    <xf numFmtId="0" fontId="39" fillId="12" borderId="3" xfId="0" applyFont="1" applyFill="1" applyBorder="1"/>
    <xf numFmtId="0" fontId="39" fillId="12" borderId="6" xfId="0" applyFont="1" applyFill="1" applyBorder="1"/>
    <xf numFmtId="17" fontId="0" fillId="0" borderId="3" xfId="0" applyNumberFormat="1" applyBorder="1"/>
    <xf numFmtId="0" fontId="0" fillId="12" borderId="1" xfId="0" applyFill="1" applyBorder="1" applyAlignment="1">
      <alignment horizontal="center" vertical="center"/>
    </xf>
    <xf numFmtId="0" fontId="0" fillId="0" borderId="0" xfId="0" applyAlignment="1">
      <alignment horizontal="right"/>
    </xf>
    <xf numFmtId="43" fontId="0" fillId="0" borderId="0" xfId="12" applyFont="1"/>
    <xf numFmtId="43" fontId="0" fillId="0" borderId="0" xfId="0" applyNumberFormat="1"/>
    <xf numFmtId="44" fontId="0" fillId="0" borderId="3" xfId="0" applyNumberFormat="1" applyBorder="1"/>
    <xf numFmtId="43" fontId="0" fillId="0" borderId="3" xfId="0" applyNumberFormat="1" applyBorder="1"/>
    <xf numFmtId="49" fontId="0" fillId="0" borderId="0" xfId="0" applyNumberFormat="1"/>
    <xf numFmtId="43" fontId="0" fillId="0" borderId="3" xfId="12" applyFont="1" applyBorder="1"/>
    <xf numFmtId="0" fontId="40" fillId="0" borderId="0" xfId="14" applyAlignment="1">
      <alignment horizontal="center"/>
    </xf>
    <xf numFmtId="9" fontId="0" fillId="0" borderId="0" xfId="13" applyFont="1"/>
    <xf numFmtId="9" fontId="0" fillId="0" borderId="0" xfId="0" applyNumberFormat="1"/>
    <xf numFmtId="164" fontId="0" fillId="0" borderId="0" xfId="0" applyNumberFormat="1"/>
    <xf numFmtId="0" fontId="0" fillId="0" borderId="6" xfId="0" applyBorder="1"/>
    <xf numFmtId="43" fontId="30" fillId="0" borderId="3" xfId="0" applyNumberFormat="1" applyFont="1" applyBorder="1"/>
    <xf numFmtId="44" fontId="30" fillId="0" borderId="0" xfId="0" applyNumberFormat="1" applyFont="1"/>
    <xf numFmtId="164" fontId="30" fillId="0" borderId="0" xfId="1" applyFont="1"/>
    <xf numFmtId="43" fontId="0" fillId="0" borderId="5" xfId="0" applyNumberFormat="1" applyBorder="1"/>
    <xf numFmtId="44" fontId="0" fillId="0" borderId="1" xfId="0" applyNumberFormat="1" applyBorder="1"/>
    <xf numFmtId="0" fontId="40" fillId="0" borderId="3" xfId="14" applyFill="1" applyBorder="1"/>
    <xf numFmtId="17" fontId="0" fillId="15" borderId="3" xfId="0" applyNumberFormat="1" applyFill="1" applyBorder="1"/>
    <xf numFmtId="9" fontId="0" fillId="0" borderId="3" xfId="0" applyNumberFormat="1" applyBorder="1"/>
    <xf numFmtId="0" fontId="30" fillId="0" borderId="3" xfId="0" applyFont="1" applyBorder="1"/>
    <xf numFmtId="0" fontId="30" fillId="0" borderId="1" xfId="0" applyFont="1" applyBorder="1"/>
    <xf numFmtId="0" fontId="44" fillId="16" borderId="3" xfId="0" applyFont="1" applyFill="1" applyBorder="1"/>
    <xf numFmtId="9" fontId="0" fillId="0" borderId="3" xfId="13" applyFont="1" applyBorder="1"/>
    <xf numFmtId="9" fontId="0" fillId="0" borderId="4" xfId="13" applyFont="1" applyBorder="1"/>
    <xf numFmtId="0" fontId="0" fillId="0" borderId="33" xfId="0" applyBorder="1"/>
    <xf numFmtId="9" fontId="45" fillId="0" borderId="3" xfId="0" applyNumberFormat="1" applyFont="1" applyBorder="1"/>
    <xf numFmtId="164" fontId="42" fillId="0" borderId="3" xfId="1" applyFont="1" applyBorder="1" applyAlignment="1">
      <alignment vertical="center"/>
    </xf>
    <xf numFmtId="43" fontId="38" fillId="0" borderId="7" xfId="0" applyNumberFormat="1" applyFont="1" applyBorder="1"/>
    <xf numFmtId="43" fontId="38" fillId="0" borderId="5" xfId="0" applyNumberFormat="1" applyFont="1" applyBorder="1"/>
    <xf numFmtId="43" fontId="38" fillId="0" borderId="40" xfId="0" applyNumberFormat="1" applyFont="1" applyBorder="1"/>
    <xf numFmtId="164" fontId="42" fillId="0" borderId="3" xfId="1" applyFont="1" applyBorder="1"/>
    <xf numFmtId="0" fontId="42" fillId="0" borderId="3" xfId="0" applyFont="1" applyBorder="1" applyAlignment="1">
      <alignment horizontal="center"/>
    </xf>
    <xf numFmtId="0" fontId="35" fillId="9" borderId="3" xfId="0" applyFont="1" applyFill="1" applyBorder="1" applyAlignment="1">
      <alignment vertical="center"/>
    </xf>
    <xf numFmtId="0" fontId="44" fillId="16" borderId="2" xfId="0" applyFont="1" applyFill="1" applyBorder="1"/>
    <xf numFmtId="43" fontId="0" fillId="2" borderId="3" xfId="0" applyNumberFormat="1" applyFill="1" applyBorder="1"/>
    <xf numFmtId="0" fontId="0" fillId="0" borderId="29" xfId="0" applyBorder="1"/>
    <xf numFmtId="164" fontId="0" fillId="0" borderId="38" xfId="1" applyFont="1" applyBorder="1" applyAlignment="1"/>
    <xf numFmtId="164" fontId="0" fillId="0" borderId="46" xfId="1" applyFont="1" applyBorder="1" applyAlignment="1"/>
    <xf numFmtId="43" fontId="0" fillId="0" borderId="1" xfId="0" applyNumberFormat="1" applyBorder="1"/>
    <xf numFmtId="44" fontId="0" fillId="0" borderId="5" xfId="0" applyNumberFormat="1" applyBorder="1"/>
    <xf numFmtId="0" fontId="25" fillId="12" borderId="3" xfId="0" applyFont="1" applyFill="1" applyBorder="1" applyAlignment="1">
      <alignment horizontal="center" vertical="center"/>
    </xf>
    <xf numFmtId="0" fontId="25" fillId="12" borderId="3" xfId="0" applyFont="1" applyFill="1" applyBorder="1" applyAlignment="1">
      <alignment horizontal="center" vertical="center" wrapText="1"/>
    </xf>
    <xf numFmtId="0" fontId="25" fillId="0" borderId="3" xfId="0" applyFont="1" applyBorder="1" applyAlignment="1">
      <alignment horizontal="center"/>
    </xf>
    <xf numFmtId="0" fontId="25" fillId="0" borderId="0" xfId="0" applyFont="1" applyAlignment="1">
      <alignment horizontal="center"/>
    </xf>
    <xf numFmtId="0" fontId="25" fillId="12" borderId="3" xfId="0" applyFont="1" applyFill="1" applyBorder="1" applyAlignment="1">
      <alignment horizontal="center"/>
    </xf>
    <xf numFmtId="0" fontId="25" fillId="0" borderId="1" xfId="0" applyFont="1" applyBorder="1"/>
    <xf numFmtId="1" fontId="25" fillId="2" borderId="3" xfId="0" applyNumberFormat="1" applyFont="1" applyFill="1" applyBorder="1"/>
    <xf numFmtId="0" fontId="25" fillId="12" borderId="3" xfId="0" applyFont="1" applyFill="1" applyBorder="1" applyAlignment="1">
      <alignment horizontal="center" wrapText="1"/>
    </xf>
    <xf numFmtId="0" fontId="25" fillId="0" borderId="7" xfId="0" applyFont="1" applyBorder="1" applyAlignment="1">
      <alignment horizontal="center"/>
    </xf>
    <xf numFmtId="0" fontId="25" fillId="12" borderId="3" xfId="0" applyFont="1" applyFill="1" applyBorder="1"/>
    <xf numFmtId="17" fontId="25" fillId="15" borderId="3" xfId="0" applyNumberFormat="1" applyFont="1" applyFill="1" applyBorder="1"/>
    <xf numFmtId="0" fontId="25" fillId="0" borderId="0" xfId="0" applyFont="1"/>
    <xf numFmtId="0" fontId="25" fillId="0" borderId="3" xfId="0" applyFont="1" applyBorder="1"/>
    <xf numFmtId="0" fontId="25" fillId="2" borderId="3" xfId="0" applyFont="1" applyFill="1" applyBorder="1" applyAlignment="1">
      <alignment horizontal="center"/>
    </xf>
    <xf numFmtId="0" fontId="25" fillId="12" borderId="1" xfId="0" applyFont="1" applyFill="1" applyBorder="1" applyAlignment="1">
      <alignment horizontal="center" vertical="center"/>
    </xf>
    <xf numFmtId="0" fontId="25" fillId="2" borderId="3" xfId="0" applyFont="1" applyFill="1" applyBorder="1"/>
    <xf numFmtId="0" fontId="25" fillId="0" borderId="5" xfId="0" applyFont="1" applyBorder="1"/>
    <xf numFmtId="0" fontId="25" fillId="0" borderId="35" xfId="0" applyFont="1" applyBorder="1"/>
    <xf numFmtId="0" fontId="25" fillId="0" borderId="7" xfId="0" applyFont="1" applyBorder="1"/>
    <xf numFmtId="0" fontId="25" fillId="0" borderId="31" xfId="0" applyFont="1" applyBorder="1"/>
    <xf numFmtId="0" fontId="25" fillId="4" borderId="3" xfId="0" applyFont="1" applyFill="1" applyBorder="1" applyAlignment="1">
      <alignment horizontal="center" vertical="center" wrapText="1"/>
    </xf>
    <xf numFmtId="0" fontId="25" fillId="4" borderId="3" xfId="0" applyFont="1" applyFill="1" applyBorder="1" applyAlignment="1">
      <alignment vertical="center" wrapText="1"/>
    </xf>
    <xf numFmtId="0" fontId="49" fillId="0" borderId="0" xfId="0" applyFont="1"/>
    <xf numFmtId="0" fontId="23" fillId="0" borderId="0" xfId="0" applyFont="1"/>
    <xf numFmtId="0" fontId="0" fillId="2" borderId="0" xfId="0" applyFill="1"/>
    <xf numFmtId="0" fontId="0" fillId="17" borderId="0" xfId="0" applyFill="1"/>
    <xf numFmtId="43" fontId="0" fillId="17" borderId="0" xfId="0" applyNumberFormat="1" applyFill="1"/>
    <xf numFmtId="0" fontId="0" fillId="18" borderId="0" xfId="0" applyFill="1"/>
    <xf numFmtId="0" fontId="22" fillId="2" borderId="3" xfId="0" applyFont="1" applyFill="1" applyBorder="1"/>
    <xf numFmtId="0" fontId="21" fillId="0" borderId="0" xfId="0" applyFont="1"/>
    <xf numFmtId="44" fontId="45" fillId="0" borderId="3" xfId="0" applyNumberFormat="1" applyFont="1" applyBorder="1"/>
    <xf numFmtId="0" fontId="20" fillId="0" borderId="0" xfId="0" applyFont="1"/>
    <xf numFmtId="0" fontId="19" fillId="0" borderId="3" xfId="0" applyFont="1" applyBorder="1"/>
    <xf numFmtId="0" fontId="0" fillId="0" borderId="0" xfId="0" applyAlignment="1">
      <alignment horizontal="center"/>
    </xf>
    <xf numFmtId="44" fontId="42" fillId="0" borderId="1" xfId="0" applyNumberFormat="1" applyFont="1" applyBorder="1"/>
    <xf numFmtId="0" fontId="18" fillId="0" borderId="0" xfId="0" applyFont="1"/>
    <xf numFmtId="0" fontId="18" fillId="0" borderId="3" xfId="0" applyFont="1" applyBorder="1"/>
    <xf numFmtId="0" fontId="18" fillId="2" borderId="3" xfId="0" applyFont="1" applyFill="1" applyBorder="1"/>
    <xf numFmtId="0" fontId="18" fillId="2" borderId="3" xfId="0" applyFont="1" applyFill="1" applyBorder="1" applyAlignment="1">
      <alignment horizontal="center"/>
    </xf>
    <xf numFmtId="0" fontId="0" fillId="0" borderId="0" xfId="0" applyAlignment="1">
      <alignment vertical="center" wrapText="1"/>
    </xf>
    <xf numFmtId="0" fontId="36" fillId="9" borderId="3" xfId="0" applyFont="1" applyFill="1" applyBorder="1" applyAlignment="1">
      <alignment horizontal="center" vertical="center" wrapText="1"/>
    </xf>
    <xf numFmtId="0" fontId="0" fillId="19" borderId="3" xfId="0" applyFill="1" applyBorder="1"/>
    <xf numFmtId="0" fontId="36" fillId="20" borderId="3" xfId="0" applyFont="1" applyFill="1" applyBorder="1" applyAlignment="1">
      <alignment horizontal="center" vertical="center" wrapText="1"/>
    </xf>
    <xf numFmtId="2" fontId="0" fillId="0" borderId="0" xfId="0" applyNumberFormat="1"/>
    <xf numFmtId="167" fontId="0" fillId="0" borderId="0" xfId="0" applyNumberFormat="1"/>
    <xf numFmtId="0" fontId="0" fillId="19" borderId="3" xfId="0" applyFill="1" applyBorder="1" applyAlignment="1">
      <alignment horizontal="center"/>
    </xf>
    <xf numFmtId="0" fontId="39" fillId="12" borderId="3" xfId="0" applyFont="1" applyFill="1" applyBorder="1" applyAlignment="1">
      <alignment horizontal="center"/>
    </xf>
    <xf numFmtId="0" fontId="18" fillId="0" borderId="32" xfId="0" applyFont="1" applyBorder="1"/>
    <xf numFmtId="0" fontId="0" fillId="0" borderId="32" xfId="0" applyBorder="1"/>
    <xf numFmtId="0" fontId="18" fillId="2" borderId="0" xfId="0" applyFont="1" applyFill="1"/>
    <xf numFmtId="0" fontId="18" fillId="0" borderId="23" xfId="0" applyFont="1" applyBorder="1"/>
    <xf numFmtId="0" fontId="0" fillId="0" borderId="48" xfId="0" applyBorder="1"/>
    <xf numFmtId="0" fontId="0" fillId="0" borderId="24" xfId="0" applyBorder="1"/>
    <xf numFmtId="0" fontId="0" fillId="0" borderId="18" xfId="0" applyBorder="1"/>
    <xf numFmtId="0" fontId="0" fillId="0" borderId="25" xfId="0" applyBorder="1"/>
    <xf numFmtId="0" fontId="0" fillId="0" borderId="26" xfId="0" applyBorder="1"/>
    <xf numFmtId="0" fontId="0" fillId="0" borderId="27" xfId="0" applyBorder="1"/>
    <xf numFmtId="0" fontId="46" fillId="0" borderId="47" xfId="0" applyFont="1" applyBorder="1" applyAlignment="1">
      <alignment horizontal="center"/>
    </xf>
    <xf numFmtId="0" fontId="46" fillId="0" borderId="47" xfId="0" applyFont="1" applyBorder="1" applyAlignment="1">
      <alignment horizontal="centerContinuous"/>
    </xf>
    <xf numFmtId="2" fontId="0" fillId="0" borderId="3" xfId="0" applyNumberFormat="1" applyBorder="1"/>
    <xf numFmtId="0" fontId="17" fillId="0" borderId="3" xfId="0" applyFont="1" applyBorder="1"/>
    <xf numFmtId="2" fontId="0" fillId="0" borderId="3" xfId="0" applyNumberFormat="1" applyBorder="1" applyAlignment="1">
      <alignment horizontal="center"/>
    </xf>
    <xf numFmtId="0" fontId="16" fillId="0" borderId="0" xfId="0" applyFont="1"/>
    <xf numFmtId="0" fontId="15" fillId="4" borderId="3" xfId="0" applyFont="1" applyFill="1" applyBorder="1" applyAlignment="1">
      <alignment horizontal="center" vertical="center" wrapText="1"/>
    </xf>
    <xf numFmtId="0" fontId="15" fillId="0" borderId="0" xfId="0" applyFont="1"/>
    <xf numFmtId="0" fontId="14" fillId="12" borderId="3" xfId="0" applyFont="1" applyFill="1" applyBorder="1" applyAlignment="1">
      <alignment horizontal="center"/>
    </xf>
    <xf numFmtId="0" fontId="51" fillId="21" borderId="0" xfId="0" applyFont="1" applyFill="1"/>
    <xf numFmtId="0" fontId="35" fillId="0" borderId="3" xfId="23" applyFont="1" applyBorder="1" applyAlignment="1">
      <alignment horizontal="center" vertical="center"/>
    </xf>
    <xf numFmtId="0" fontId="13" fillId="0" borderId="1" xfId="23"/>
    <xf numFmtId="0" fontId="13" fillId="0" borderId="3" xfId="23" applyBorder="1" applyAlignment="1">
      <alignment horizontal="center" vertical="center"/>
    </xf>
    <xf numFmtId="0" fontId="35" fillId="0" borderId="3" xfId="23" applyFont="1" applyBorder="1" applyAlignment="1">
      <alignment horizontal="center" vertical="center" wrapText="1"/>
    </xf>
    <xf numFmtId="0" fontId="13" fillId="0" borderId="1" xfId="23" applyAlignment="1">
      <alignment vertical="center" wrapText="1"/>
    </xf>
    <xf numFmtId="0" fontId="13" fillId="0" borderId="1" xfId="23" applyAlignment="1">
      <alignment horizontal="center" vertical="center" wrapText="1"/>
    </xf>
    <xf numFmtId="17" fontId="13" fillId="0" borderId="3" xfId="23" applyNumberFormat="1" applyBorder="1"/>
    <xf numFmtId="0" fontId="13" fillId="0" borderId="3" xfId="23" applyBorder="1"/>
    <xf numFmtId="2" fontId="13" fillId="0" borderId="3" xfId="23" applyNumberFormat="1" applyBorder="1"/>
    <xf numFmtId="165" fontId="13" fillId="0" borderId="3" xfId="23" applyNumberFormat="1" applyBorder="1"/>
    <xf numFmtId="2" fontId="13" fillId="0" borderId="1" xfId="23" applyNumberFormat="1"/>
    <xf numFmtId="0" fontId="13" fillId="22" borderId="3" xfId="23" applyFill="1" applyBorder="1"/>
    <xf numFmtId="2" fontId="13" fillId="22" borderId="3" xfId="23" applyNumberFormat="1" applyFill="1" applyBorder="1"/>
    <xf numFmtId="165" fontId="13" fillId="22" borderId="3" xfId="23" applyNumberFormat="1" applyFill="1" applyBorder="1"/>
    <xf numFmtId="0" fontId="13" fillId="0" borderId="0" xfId="0" applyFont="1"/>
    <xf numFmtId="0" fontId="35" fillId="0" borderId="7" xfId="23" applyFont="1" applyBorder="1" applyAlignment="1">
      <alignment horizontal="center" vertical="center" wrapText="1"/>
    </xf>
    <xf numFmtId="0" fontId="30" fillId="0" borderId="4" xfId="0" applyFont="1" applyBorder="1"/>
    <xf numFmtId="0" fontId="30" fillId="0" borderId="34" xfId="0" applyFont="1" applyBorder="1"/>
    <xf numFmtId="2" fontId="30" fillId="0" borderId="34" xfId="0" applyNumberFormat="1" applyFont="1" applyBorder="1" applyAlignment="1">
      <alignment horizontal="center"/>
    </xf>
    <xf numFmtId="0" fontId="30" fillId="0" borderId="2" xfId="0" applyFont="1" applyBorder="1"/>
    <xf numFmtId="0" fontId="47" fillId="0" borderId="3" xfId="0" applyFont="1" applyBorder="1"/>
    <xf numFmtId="2" fontId="47" fillId="0" borderId="6" xfId="0" applyNumberFormat="1" applyFont="1" applyBorder="1"/>
    <xf numFmtId="2" fontId="49" fillId="21" borderId="3" xfId="0" applyNumberFormat="1" applyFont="1" applyFill="1" applyBorder="1"/>
    <xf numFmtId="0" fontId="51" fillId="21" borderId="4" xfId="0" applyFont="1" applyFill="1" applyBorder="1"/>
    <xf numFmtId="0" fontId="51" fillId="21" borderId="34" xfId="0" applyFont="1" applyFill="1" applyBorder="1"/>
    <xf numFmtId="0" fontId="51" fillId="21" borderId="2" xfId="0" applyFont="1" applyFill="1" applyBorder="1"/>
    <xf numFmtId="0" fontId="12" fillId="0" borderId="3" xfId="23" applyFont="1" applyBorder="1"/>
    <xf numFmtId="0" fontId="11" fillId="0" borderId="1" xfId="23" applyFont="1"/>
    <xf numFmtId="0" fontId="55" fillId="23" borderId="49" xfId="24" applyFont="1" applyFill="1" applyBorder="1"/>
    <xf numFmtId="0" fontId="56" fillId="0" borderId="1" xfId="24" applyNumberFormat="1" applyFont="1"/>
    <xf numFmtId="49" fontId="55" fillId="0" borderId="51" xfId="24" applyNumberFormat="1" applyFont="1" applyBorder="1"/>
    <xf numFmtId="0" fontId="56" fillId="0" borderId="52" xfId="24" applyFont="1" applyBorder="1"/>
    <xf numFmtId="0" fontId="57" fillId="2" borderId="54" xfId="24" applyNumberFormat="1" applyFont="1" applyFill="1" applyBorder="1"/>
    <xf numFmtId="0" fontId="56" fillId="0" borderId="55" xfId="24" applyFont="1" applyBorder="1"/>
    <xf numFmtId="0" fontId="56" fillId="0" borderId="56" xfId="24" applyFont="1" applyBorder="1"/>
    <xf numFmtId="3" fontId="57" fillId="2" borderId="58" xfId="24" applyNumberFormat="1" applyFont="1" applyFill="1" applyBorder="1"/>
    <xf numFmtId="0" fontId="56" fillId="0" borderId="59" xfId="24" applyFont="1" applyBorder="1"/>
    <xf numFmtId="3" fontId="55" fillId="0" borderId="64" xfId="24" applyNumberFormat="1" applyFont="1" applyBorder="1"/>
    <xf numFmtId="49" fontId="55" fillId="0" borderId="65" xfId="24" applyNumberFormat="1" applyFont="1" applyBorder="1"/>
    <xf numFmtId="0" fontId="57" fillId="0" borderId="54" xfId="24" applyNumberFormat="1" applyFont="1" applyFill="1" applyBorder="1"/>
    <xf numFmtId="0" fontId="57" fillId="0" borderId="54" xfId="24" applyFont="1" applyBorder="1"/>
    <xf numFmtId="49" fontId="55" fillId="0" borderId="54" xfId="24" applyNumberFormat="1" applyFont="1" applyBorder="1"/>
    <xf numFmtId="49" fontId="55" fillId="0" borderId="55" xfId="24" applyNumberFormat="1" applyFont="1" applyBorder="1"/>
    <xf numFmtId="49" fontId="55" fillId="0" borderId="56" xfId="24" applyNumberFormat="1" applyFont="1" applyBorder="1"/>
    <xf numFmtId="49" fontId="55" fillId="0" borderId="56" xfId="24" applyNumberFormat="1" applyFont="1" applyBorder="1" applyAlignment="1">
      <alignment horizontal="center" vertical="center"/>
    </xf>
    <xf numFmtId="4" fontId="56" fillId="0" borderId="54" xfId="24" applyNumberFormat="1" applyFont="1" applyBorder="1"/>
    <xf numFmtId="4" fontId="56" fillId="0" borderId="56" xfId="24" applyNumberFormat="1" applyFont="1" applyBorder="1"/>
    <xf numFmtId="0" fontId="56" fillId="0" borderId="54" xfId="24" applyFont="1" applyBorder="1"/>
    <xf numFmtId="4" fontId="56" fillId="0" borderId="55" xfId="24" applyNumberFormat="1" applyFont="1" applyBorder="1"/>
    <xf numFmtId="168" fontId="56" fillId="0" borderId="54" xfId="24" applyNumberFormat="1" applyFont="1" applyBorder="1"/>
    <xf numFmtId="168" fontId="61" fillId="0" borderId="54" xfId="24" applyNumberFormat="1" applyFont="1" applyBorder="1"/>
    <xf numFmtId="4" fontId="61" fillId="0" borderId="54" xfId="24" applyNumberFormat="1" applyFont="1" applyBorder="1"/>
    <xf numFmtId="0" fontId="54" fillId="0" borderId="1" xfId="24"/>
    <xf numFmtId="0" fontId="62" fillId="0" borderId="1" xfId="24" applyFont="1"/>
    <xf numFmtId="0" fontId="55" fillId="22" borderId="49" xfId="24" applyFont="1" applyFill="1" applyBorder="1"/>
    <xf numFmtId="0" fontId="55" fillId="22" borderId="50" xfId="24" applyFont="1" applyFill="1" applyBorder="1"/>
    <xf numFmtId="49" fontId="55" fillId="22" borderId="53" xfId="24" applyNumberFormat="1" applyFont="1" applyFill="1" applyBorder="1"/>
    <xf numFmtId="49" fontId="55" fillId="22" borderId="57" xfId="24" applyNumberFormat="1" applyFont="1" applyFill="1" applyBorder="1"/>
    <xf numFmtId="0" fontId="55" fillId="22" borderId="60" xfId="24" applyFont="1" applyFill="1" applyBorder="1"/>
    <xf numFmtId="49" fontId="55" fillId="22" borderId="62" xfId="24" applyNumberFormat="1" applyFont="1" applyFill="1" applyBorder="1"/>
    <xf numFmtId="49" fontId="55" fillId="22" borderId="60" xfId="24" applyNumberFormat="1" applyFont="1" applyFill="1" applyBorder="1"/>
    <xf numFmtId="0" fontId="55" fillId="22" borderId="53" xfId="24" applyFont="1" applyFill="1" applyBorder="1"/>
    <xf numFmtId="49" fontId="56" fillId="22" borderId="53" xfId="24" applyNumberFormat="1" applyFont="1" applyFill="1" applyBorder="1"/>
    <xf numFmtId="49" fontId="60" fillId="22" borderId="53" xfId="24" applyNumberFormat="1" applyFont="1" applyFill="1" applyBorder="1"/>
    <xf numFmtId="0" fontId="56" fillId="22" borderId="1" xfId="24" applyNumberFormat="1" applyFont="1" applyFill="1"/>
    <xf numFmtId="0" fontId="54" fillId="0" borderId="3" xfId="24" applyBorder="1" applyAlignment="1">
      <alignment horizontal="center" vertical="center" wrapText="1"/>
    </xf>
    <xf numFmtId="0" fontId="54" fillId="0" borderId="3" xfId="24" applyBorder="1" applyAlignment="1">
      <alignment horizontal="center" wrapText="1"/>
    </xf>
    <xf numFmtId="0" fontId="54" fillId="0" borderId="3" xfId="24" applyBorder="1"/>
    <xf numFmtId="9" fontId="54" fillId="0" borderId="3" xfId="13" applyFont="1" applyBorder="1"/>
    <xf numFmtId="3" fontId="54" fillId="0" borderId="3" xfId="24" applyNumberFormat="1" applyBorder="1"/>
    <xf numFmtId="4" fontId="54" fillId="0" borderId="3" xfId="24" applyNumberFormat="1" applyBorder="1"/>
    <xf numFmtId="0" fontId="38" fillId="0" borderId="3" xfId="0" applyFont="1" applyBorder="1" applyAlignment="1">
      <alignment vertical="center"/>
    </xf>
    <xf numFmtId="0" fontId="10" fillId="0" borderId="0" xfId="0" applyFont="1"/>
    <xf numFmtId="0" fontId="35" fillId="2" borderId="9" xfId="25" applyFont="1" applyFill="1" applyBorder="1"/>
    <xf numFmtId="0" fontId="9" fillId="0" borderId="12" xfId="25" applyBorder="1"/>
    <xf numFmtId="0" fontId="9" fillId="0" borderId="1" xfId="25"/>
    <xf numFmtId="0" fontId="35" fillId="0" borderId="1" xfId="25" applyFont="1"/>
    <xf numFmtId="0" fontId="35" fillId="2" borderId="20" xfId="25" applyFont="1" applyFill="1" applyBorder="1"/>
    <xf numFmtId="0" fontId="35" fillId="0" borderId="9" xfId="25" applyFont="1" applyBorder="1"/>
    <xf numFmtId="0" fontId="35" fillId="0" borderId="10" xfId="25" applyFont="1" applyBorder="1"/>
    <xf numFmtId="0" fontId="9" fillId="0" borderId="39" xfId="25" applyBorder="1"/>
    <xf numFmtId="0" fontId="9" fillId="0" borderId="7" xfId="25" applyBorder="1"/>
    <xf numFmtId="0" fontId="68" fillId="0" borderId="40" xfId="25" applyFont="1" applyBorder="1"/>
    <xf numFmtId="0" fontId="9" fillId="0" borderId="41" xfId="25" applyBorder="1"/>
    <xf numFmtId="0" fontId="69" fillId="0" borderId="3" xfId="25" applyFont="1" applyBorder="1"/>
    <xf numFmtId="0" fontId="9" fillId="0" borderId="3" xfId="25" applyBorder="1"/>
    <xf numFmtId="169" fontId="9" fillId="0" borderId="3" xfId="25" applyNumberFormat="1" applyBorder="1"/>
    <xf numFmtId="0" fontId="9" fillId="0" borderId="44" xfId="25" applyBorder="1"/>
    <xf numFmtId="2" fontId="9" fillId="0" borderId="45" xfId="25" applyNumberFormat="1" applyBorder="1"/>
    <xf numFmtId="2" fontId="9" fillId="0" borderId="46" xfId="25" applyNumberFormat="1" applyBorder="1"/>
    <xf numFmtId="2" fontId="9" fillId="0" borderId="1" xfId="25" applyNumberFormat="1"/>
    <xf numFmtId="0" fontId="35" fillId="2" borderId="20" xfId="25" applyFont="1" applyFill="1" applyBorder="1" applyAlignment="1">
      <alignment vertical="center" wrapText="1"/>
    </xf>
    <xf numFmtId="0" fontId="9" fillId="0" borderId="1" xfId="25" applyAlignment="1">
      <alignment vertical="center" wrapText="1"/>
    </xf>
    <xf numFmtId="0" fontId="35" fillId="0" borderId="9" xfId="25" applyFont="1" applyBorder="1" applyAlignment="1">
      <alignment horizontal="center" vertical="center"/>
    </xf>
    <xf numFmtId="0" fontId="64" fillId="0" borderId="10" xfId="25" applyFont="1" applyBorder="1" applyAlignment="1">
      <alignment vertical="center"/>
    </xf>
    <xf numFmtId="0" fontId="70" fillId="0" borderId="10" xfId="25" applyFont="1" applyBorder="1" applyAlignment="1">
      <alignment vertical="center"/>
    </xf>
    <xf numFmtId="0" fontId="35" fillId="2" borderId="10" xfId="25" applyFont="1" applyFill="1" applyBorder="1" applyAlignment="1">
      <alignment horizontal="center" vertical="center"/>
    </xf>
    <xf numFmtId="0" fontId="35" fillId="0" borderId="10" xfId="25" applyFont="1" applyBorder="1" applyAlignment="1">
      <alignment horizontal="center" vertical="center"/>
    </xf>
    <xf numFmtId="0" fontId="9" fillId="0" borderId="10" xfId="25" applyBorder="1" applyAlignment="1">
      <alignment horizontal="center" vertical="center"/>
    </xf>
    <xf numFmtId="0" fontId="35" fillId="0" borderId="10" xfId="25" applyFont="1" applyBorder="1" applyAlignment="1">
      <alignment horizontal="center" vertical="center" wrapText="1"/>
    </xf>
    <xf numFmtId="0" fontId="35" fillId="0" borderId="12" xfId="25" applyFont="1" applyBorder="1" applyAlignment="1">
      <alignment horizontal="center" vertical="center" wrapText="1"/>
    </xf>
    <xf numFmtId="0" fontId="9" fillId="0" borderId="39" xfId="25" applyBorder="1" applyAlignment="1">
      <alignment vertical="center"/>
    </xf>
    <xf numFmtId="0" fontId="69" fillId="0" borderId="7" xfId="25" applyFont="1" applyBorder="1" applyAlignment="1">
      <alignment vertical="center"/>
    </xf>
    <xf numFmtId="0" fontId="63" fillId="0" borderId="7" xfId="25" applyFont="1" applyBorder="1" applyAlignment="1">
      <alignment vertical="center"/>
    </xf>
    <xf numFmtId="0" fontId="9" fillId="0" borderId="7" xfId="25" applyBorder="1" applyAlignment="1">
      <alignment vertical="center"/>
    </xf>
    <xf numFmtId="169" fontId="9" fillId="0" borderId="7" xfId="25" applyNumberFormat="1" applyBorder="1" applyAlignment="1">
      <alignment vertical="center"/>
    </xf>
    <xf numFmtId="169" fontId="35" fillId="0" borderId="7" xfId="25" applyNumberFormat="1" applyFont="1" applyBorder="1" applyAlignment="1">
      <alignment vertical="center"/>
    </xf>
    <xf numFmtId="0" fontId="9" fillId="0" borderId="40" xfId="25" applyBorder="1" applyAlignment="1">
      <alignment vertical="top" wrapText="1"/>
    </xf>
    <xf numFmtId="0" fontId="9" fillId="0" borderId="41" xfId="25" applyBorder="1" applyAlignment="1">
      <alignment vertical="center"/>
    </xf>
    <xf numFmtId="170" fontId="63" fillId="0" borderId="3" xfId="25" applyNumberFormat="1" applyFont="1" applyBorder="1" applyAlignment="1">
      <alignment vertical="center"/>
    </xf>
    <xf numFmtId="0" fontId="9" fillId="0" borderId="3" xfId="25" applyBorder="1" applyAlignment="1">
      <alignment vertical="center"/>
    </xf>
    <xf numFmtId="169" fontId="9" fillId="0" borderId="3" xfId="25" applyNumberFormat="1" applyBorder="1" applyAlignment="1">
      <alignment vertical="center"/>
    </xf>
    <xf numFmtId="169" fontId="35" fillId="0" borderId="3" xfId="25" applyNumberFormat="1" applyFont="1" applyBorder="1" applyAlignment="1">
      <alignment vertical="center"/>
    </xf>
    <xf numFmtId="0" fontId="9" fillId="0" borderId="44" xfId="25" applyBorder="1" applyAlignment="1">
      <alignment vertical="center"/>
    </xf>
    <xf numFmtId="170" fontId="63" fillId="0" borderId="45" xfId="25" applyNumberFormat="1" applyFont="1" applyBorder="1" applyAlignment="1">
      <alignment vertical="center"/>
    </xf>
    <xf numFmtId="0" fontId="9" fillId="0" borderId="45" xfId="25" applyBorder="1" applyAlignment="1">
      <alignment vertical="center"/>
    </xf>
    <xf numFmtId="169" fontId="9" fillId="0" borderId="45" xfId="25" applyNumberFormat="1" applyBorder="1" applyAlignment="1">
      <alignment vertical="center"/>
    </xf>
    <xf numFmtId="0" fontId="9" fillId="0" borderId="1" xfId="25" applyAlignment="1">
      <alignment vertical="center"/>
    </xf>
    <xf numFmtId="169" fontId="9" fillId="0" borderId="1" xfId="25" applyNumberFormat="1" applyAlignment="1">
      <alignment vertical="center"/>
    </xf>
    <xf numFmtId="0" fontId="9" fillId="0" borderId="1" xfId="25" applyAlignment="1">
      <alignment vertical="top" wrapText="1"/>
    </xf>
    <xf numFmtId="0" fontId="35" fillId="2" borderId="9" xfId="25" applyFont="1" applyFill="1" applyBorder="1" applyAlignment="1">
      <alignment vertical="center" wrapText="1"/>
    </xf>
    <xf numFmtId="0" fontId="66" fillId="0" borderId="10" xfId="25" applyFont="1" applyBorder="1" applyAlignment="1">
      <alignment horizontal="center" vertical="center" wrapText="1"/>
    </xf>
    <xf numFmtId="0" fontId="9" fillId="0" borderId="10" xfId="25" applyBorder="1" applyAlignment="1">
      <alignment horizontal="center" vertical="center" wrapText="1"/>
    </xf>
    <xf numFmtId="0" fontId="70" fillId="0" borderId="10" xfId="25" applyFont="1" applyBorder="1" applyAlignment="1">
      <alignment horizontal="center" vertical="center" wrapText="1"/>
    </xf>
    <xf numFmtId="0" fontId="66" fillId="0" borderId="39" xfId="25" applyFont="1" applyBorder="1"/>
    <xf numFmtId="0" fontId="68" fillId="0" borderId="7" xfId="25" applyFont="1" applyBorder="1"/>
    <xf numFmtId="0" fontId="63" fillId="0" borderId="7" xfId="25" applyFont="1" applyBorder="1"/>
    <xf numFmtId="0" fontId="9" fillId="0" borderId="3" xfId="25" applyBorder="1" applyAlignment="1">
      <alignment horizontal="center" vertical="center"/>
    </xf>
    <xf numFmtId="169" fontId="63" fillId="0" borderId="3" xfId="25" applyNumberFormat="1" applyFont="1" applyBorder="1"/>
    <xf numFmtId="0" fontId="9" fillId="0" borderId="45" xfId="25" applyBorder="1"/>
    <xf numFmtId="0" fontId="9" fillId="0" borderId="45" xfId="25" applyBorder="1" applyAlignment="1">
      <alignment horizontal="center" vertical="center"/>
    </xf>
    <xf numFmtId="0" fontId="64" fillId="2" borderId="10" xfId="25" applyFont="1" applyFill="1" applyBorder="1"/>
    <xf numFmtId="0" fontId="66" fillId="2" borderId="12" xfId="25" applyFont="1" applyFill="1" applyBorder="1"/>
    <xf numFmtId="0" fontId="9" fillId="2" borderId="0" xfId="0" applyFont="1" applyFill="1"/>
    <xf numFmtId="0" fontId="9" fillId="24" borderId="0" xfId="0" applyFont="1" applyFill="1"/>
    <xf numFmtId="0" fontId="0" fillId="24" borderId="0" xfId="0" applyFill="1"/>
    <xf numFmtId="0" fontId="8" fillId="0" borderId="3" xfId="0" applyFont="1" applyBorder="1" applyAlignment="1">
      <alignment horizontal="center"/>
    </xf>
    <xf numFmtId="0" fontId="45" fillId="0" borderId="3" xfId="0" applyFont="1" applyBorder="1"/>
    <xf numFmtId="0" fontId="45" fillId="0" borderId="3" xfId="0" applyFont="1" applyBorder="1" applyAlignment="1">
      <alignment horizontal="center"/>
    </xf>
    <xf numFmtId="0" fontId="7" fillId="12" borderId="3" xfId="0" applyFont="1" applyFill="1" applyBorder="1" applyAlignment="1">
      <alignment horizontal="center"/>
    </xf>
    <xf numFmtId="0" fontId="25" fillId="12" borderId="7" xfId="0" applyFont="1" applyFill="1" applyBorder="1" applyAlignment="1">
      <alignment horizontal="center" vertical="center"/>
    </xf>
    <xf numFmtId="0" fontId="6" fillId="0" borderId="0" xfId="0" applyFont="1"/>
    <xf numFmtId="0" fontId="34" fillId="5" borderId="0" xfId="0" applyFont="1" applyFill="1" applyAlignment="1">
      <alignment horizontal="center" vertical="center" wrapText="1"/>
    </xf>
    <xf numFmtId="0" fontId="34" fillId="6" borderId="0" xfId="0" applyFont="1" applyFill="1" applyAlignment="1">
      <alignment horizontal="center" vertical="center" wrapText="1"/>
    </xf>
    <xf numFmtId="0" fontId="72" fillId="5" borderId="0" xfId="0" applyFont="1" applyFill="1" applyAlignment="1">
      <alignment horizontal="center" vertical="center" wrapText="1"/>
    </xf>
    <xf numFmtId="0" fontId="72" fillId="6" borderId="0" xfId="0" applyFont="1" applyFill="1" applyAlignment="1">
      <alignment horizontal="center" vertical="center" wrapText="1"/>
    </xf>
    <xf numFmtId="0" fontId="6" fillId="0" borderId="3" xfId="0" applyFont="1" applyBorder="1"/>
    <xf numFmtId="0" fontId="5" fillId="0" borderId="0" xfId="0" applyFont="1"/>
    <xf numFmtId="17" fontId="5" fillId="0" borderId="0" xfId="0" applyNumberFormat="1" applyFont="1"/>
    <xf numFmtId="0" fontId="5" fillId="12" borderId="3" xfId="0" applyFont="1" applyFill="1" applyBorder="1" applyAlignment="1">
      <alignment horizontal="center" vertical="center" wrapText="1"/>
    </xf>
    <xf numFmtId="0" fontId="7" fillId="12" borderId="3" xfId="0" applyFont="1" applyFill="1" applyBorder="1" applyAlignment="1">
      <alignment horizontal="center" vertical="center"/>
    </xf>
    <xf numFmtId="0" fontId="25" fillId="9" borderId="7" xfId="0" applyFont="1" applyFill="1" applyBorder="1" applyAlignment="1">
      <alignment horizontal="center" vertical="center"/>
    </xf>
    <xf numFmtId="0" fontId="5" fillId="0" borderId="3" xfId="0" applyFont="1" applyBorder="1" applyAlignment="1">
      <alignment horizontal="center"/>
    </xf>
    <xf numFmtId="0" fontId="5" fillId="0" borderId="3" xfId="0" applyFont="1" applyBorder="1" applyAlignment="1">
      <alignment horizontal="center" wrapText="1"/>
    </xf>
    <xf numFmtId="0" fontId="5" fillId="0" borderId="3" xfId="0" applyFont="1" applyBorder="1"/>
    <xf numFmtId="171" fontId="0" fillId="0" borderId="3" xfId="0" applyNumberFormat="1" applyBorder="1"/>
    <xf numFmtId="0" fontId="0" fillId="0" borderId="3" xfId="0" applyBorder="1" applyAlignment="1">
      <alignment horizontal="left" vertical="center" wrapText="1"/>
    </xf>
    <xf numFmtId="169" fontId="30" fillId="8" borderId="43" xfId="25" applyNumberFormat="1" applyFont="1" applyFill="1" applyBorder="1"/>
    <xf numFmtId="169" fontId="30" fillId="8" borderId="7" xfId="25" applyNumberFormat="1" applyFont="1" applyFill="1" applyBorder="1"/>
    <xf numFmtId="0" fontId="30" fillId="8" borderId="0" xfId="0" applyFont="1" applyFill="1"/>
    <xf numFmtId="0" fontId="30" fillId="8" borderId="3" xfId="0" applyFont="1" applyFill="1" applyBorder="1"/>
    <xf numFmtId="0" fontId="69" fillId="8" borderId="3" xfId="25" applyFont="1" applyFill="1" applyBorder="1" applyAlignment="1">
      <alignment vertical="center"/>
    </xf>
    <xf numFmtId="0" fontId="69" fillId="8" borderId="45" xfId="25" applyFont="1" applyFill="1" applyBorder="1" applyAlignment="1">
      <alignment vertical="center"/>
    </xf>
    <xf numFmtId="169" fontId="63" fillId="0" borderId="6" xfId="25" applyNumberFormat="1" applyFont="1" applyBorder="1"/>
    <xf numFmtId="0" fontId="35" fillId="0" borderId="3" xfId="25" applyFont="1" applyBorder="1"/>
    <xf numFmtId="169" fontId="69" fillId="8" borderId="3" xfId="25" applyNumberFormat="1" applyFont="1" applyFill="1" applyBorder="1" applyAlignment="1">
      <alignment vertical="center"/>
    </xf>
    <xf numFmtId="169" fontId="30" fillId="8" borderId="3" xfId="25" applyNumberFormat="1" applyFont="1" applyFill="1" applyBorder="1"/>
    <xf numFmtId="164" fontId="30" fillId="8" borderId="0" xfId="0" applyNumberFormat="1" applyFont="1" applyFill="1"/>
    <xf numFmtId="0" fontId="56" fillId="0" borderId="56" xfId="24" applyFont="1" applyBorder="1" applyAlignment="1">
      <alignment horizontal="right" vertical="center"/>
    </xf>
    <xf numFmtId="3" fontId="59" fillId="25" borderId="63" xfId="24" applyNumberFormat="1" applyFont="1" applyFill="1" applyBorder="1"/>
    <xf numFmtId="0" fontId="59" fillId="25" borderId="66" xfId="24" applyNumberFormat="1" applyFont="1" applyFill="1" applyBorder="1"/>
    <xf numFmtId="0" fontId="30" fillId="2" borderId="54" xfId="24" applyNumberFormat="1" applyFont="1" applyFill="1" applyBorder="1"/>
    <xf numFmtId="2" fontId="30" fillId="2" borderId="54" xfId="24" applyNumberFormat="1" applyFont="1" applyFill="1" applyBorder="1"/>
    <xf numFmtId="3" fontId="30" fillId="2" borderId="58" xfId="24" applyNumberFormat="1" applyFont="1" applyFill="1" applyBorder="1"/>
    <xf numFmtId="3" fontId="30" fillId="0" borderId="54" xfId="24" applyNumberFormat="1" applyFont="1" applyFill="1" applyBorder="1"/>
    <xf numFmtId="3" fontId="30" fillId="2" borderId="61" xfId="24" applyNumberFormat="1" applyFont="1" applyFill="1" applyBorder="1"/>
    <xf numFmtId="0" fontId="30" fillId="2" borderId="61" xfId="24" applyNumberFormat="1" applyFont="1" applyFill="1" applyBorder="1"/>
    <xf numFmtId="49" fontId="55" fillId="0" borderId="52" xfId="24" applyNumberFormat="1" applyFont="1" applyBorder="1" applyAlignment="1">
      <alignment horizontal="center" vertical="center"/>
    </xf>
    <xf numFmtId="0" fontId="56" fillId="2" borderId="56" xfId="24" applyNumberFormat="1" applyFont="1" applyFill="1" applyBorder="1" applyAlignment="1">
      <alignment horizontal="center" vertical="center"/>
    </xf>
    <xf numFmtId="4" fontId="56" fillId="0" borderId="1" xfId="24" applyNumberFormat="1" applyFont="1"/>
    <xf numFmtId="3" fontId="56" fillId="0" borderId="1" xfId="24" applyNumberFormat="1" applyFont="1"/>
    <xf numFmtId="49" fontId="56" fillId="22" borderId="74" xfId="24" applyNumberFormat="1" applyFont="1" applyFill="1" applyBorder="1"/>
    <xf numFmtId="4" fontId="56" fillId="0" borderId="75" xfId="24" applyNumberFormat="1" applyFont="1" applyBorder="1"/>
    <xf numFmtId="4" fontId="56" fillId="0" borderId="76" xfId="24" applyNumberFormat="1" applyFont="1" applyBorder="1"/>
    <xf numFmtId="4" fontId="56" fillId="0" borderId="77" xfId="24" applyNumberFormat="1" applyFont="1" applyBorder="1"/>
    <xf numFmtId="0" fontId="55" fillId="22" borderId="78" xfId="24" applyFont="1" applyFill="1" applyBorder="1"/>
    <xf numFmtId="168" fontId="56" fillId="0" borderId="79" xfId="24" applyNumberFormat="1" applyFont="1" applyBorder="1"/>
    <xf numFmtId="0" fontId="56" fillId="0" borderId="80" xfId="24" applyFont="1" applyBorder="1"/>
    <xf numFmtId="0" fontId="56" fillId="0" borderId="81" xfId="24" applyFont="1" applyBorder="1"/>
    <xf numFmtId="49" fontId="55" fillId="0" borderId="83" xfId="24" applyNumberFormat="1" applyFont="1" applyBorder="1" applyAlignment="1">
      <alignment horizontal="center" vertical="center"/>
    </xf>
    <xf numFmtId="4" fontId="55" fillId="0" borderId="84" xfId="24" applyNumberFormat="1" applyFont="1" applyBorder="1" applyAlignment="1">
      <alignment horizontal="center" vertical="center"/>
    </xf>
    <xf numFmtId="4" fontId="55" fillId="0" borderId="85" xfId="24" applyNumberFormat="1" applyFont="1" applyBorder="1" applyAlignment="1">
      <alignment horizontal="center" vertical="center"/>
    </xf>
    <xf numFmtId="4" fontId="55" fillId="0" borderId="86" xfId="24" applyNumberFormat="1" applyFont="1" applyBorder="1" applyAlignment="1">
      <alignment horizontal="center" vertical="center"/>
    </xf>
    <xf numFmtId="49" fontId="56" fillId="22" borderId="87" xfId="24" applyNumberFormat="1" applyFont="1" applyFill="1" applyBorder="1"/>
    <xf numFmtId="4" fontId="56" fillId="0" borderId="88" xfId="24" applyNumberFormat="1" applyFont="1" applyBorder="1"/>
    <xf numFmtId="3" fontId="56" fillId="0" borderId="89" xfId="24" applyNumberFormat="1" applyFont="1" applyBorder="1"/>
    <xf numFmtId="4" fontId="56" fillId="0" borderId="90" xfId="24" applyNumberFormat="1" applyFont="1" applyBorder="1"/>
    <xf numFmtId="4" fontId="56" fillId="0" borderId="91" xfId="24" applyNumberFormat="1" applyFont="1" applyBorder="1"/>
    <xf numFmtId="49" fontId="47" fillId="22" borderId="82" xfId="24" applyNumberFormat="1" applyFont="1" applyFill="1" applyBorder="1"/>
    <xf numFmtId="0" fontId="74" fillId="26" borderId="28" xfId="0" applyFont="1" applyFill="1" applyBorder="1" applyAlignment="1">
      <alignment vertical="center"/>
    </xf>
    <xf numFmtId="0" fontId="0" fillId="26" borderId="29" xfId="0" applyFill="1" applyBorder="1"/>
    <xf numFmtId="0" fontId="0" fillId="26" borderId="30" xfId="0" applyFill="1" applyBorder="1"/>
    <xf numFmtId="0" fontId="0" fillId="26" borderId="32" xfId="0" applyFill="1" applyBorder="1"/>
    <xf numFmtId="0" fontId="0" fillId="26" borderId="33" xfId="0" applyFill="1" applyBorder="1"/>
    <xf numFmtId="0" fontId="0" fillId="26" borderId="1" xfId="0" applyFill="1" applyBorder="1"/>
    <xf numFmtId="0" fontId="4" fillId="26" borderId="1" xfId="0" applyFont="1" applyFill="1" applyBorder="1"/>
    <xf numFmtId="0" fontId="75" fillId="26" borderId="35" xfId="0" applyFont="1" applyFill="1" applyBorder="1" applyAlignment="1">
      <alignment horizontal="left"/>
    </xf>
    <xf numFmtId="0" fontId="0" fillId="26" borderId="16" xfId="0" applyFill="1" applyBorder="1"/>
    <xf numFmtId="0" fontId="40" fillId="26" borderId="31" xfId="14" applyFill="1" applyBorder="1" applyAlignment="1">
      <alignment horizontal="justify" vertical="center"/>
    </xf>
    <xf numFmtId="0" fontId="35" fillId="26" borderId="3" xfId="0" applyFont="1" applyFill="1" applyBorder="1"/>
    <xf numFmtId="0" fontId="0" fillId="0" borderId="0" xfId="0" applyAlignment="1">
      <alignment horizontal="center" vertical="center" wrapText="1"/>
    </xf>
    <xf numFmtId="0" fontId="35" fillId="26" borderId="3" xfId="0" applyFont="1" applyFill="1" applyBorder="1" applyAlignment="1">
      <alignment horizontal="center" vertical="center" wrapText="1"/>
    </xf>
    <xf numFmtId="0" fontId="0" fillId="0" borderId="0" xfId="0" applyAlignment="1">
      <alignment horizontal="left" vertical="center" wrapText="1"/>
    </xf>
    <xf numFmtId="0" fontId="34" fillId="5" borderId="3" xfId="0" applyFont="1" applyFill="1" applyBorder="1" applyAlignment="1">
      <alignment horizontal="left" vertical="center" wrapText="1"/>
    </xf>
    <xf numFmtId="0" fontId="34" fillId="6" borderId="3" xfId="0" applyFont="1" applyFill="1" applyBorder="1" applyAlignment="1">
      <alignment horizontal="left" vertical="center" wrapText="1"/>
    </xf>
    <xf numFmtId="0" fontId="0" fillId="0" borderId="3" xfId="0" applyBorder="1" applyAlignment="1">
      <alignment horizontal="right" vertical="center" wrapText="1"/>
    </xf>
    <xf numFmtId="0" fontId="4" fillId="0" borderId="3" xfId="0" applyFont="1" applyBorder="1"/>
    <xf numFmtId="172" fontId="47" fillId="0" borderId="2" xfId="12" applyNumberFormat="1" applyFont="1" applyBorder="1"/>
    <xf numFmtId="9" fontId="38" fillId="0" borderId="3" xfId="13" applyFont="1" applyBorder="1" applyAlignment="1">
      <alignment vertical="center"/>
    </xf>
    <xf numFmtId="43" fontId="38" fillId="0" borderId="3" xfId="12" applyFont="1" applyBorder="1" applyAlignment="1">
      <alignment vertical="center"/>
    </xf>
    <xf numFmtId="0" fontId="39" fillId="0" borderId="0" xfId="0" applyFont="1"/>
    <xf numFmtId="0" fontId="49" fillId="22" borderId="1" xfId="0" applyFont="1" applyFill="1" applyBorder="1"/>
    <xf numFmtId="0" fontId="0" fillId="2" borderId="7" xfId="0" applyFill="1" applyBorder="1"/>
    <xf numFmtId="9" fontId="25" fillId="0" borderId="3" xfId="13" applyFont="1" applyBorder="1"/>
    <xf numFmtId="0" fontId="2" fillId="12" borderId="3" xfId="0" applyFont="1" applyFill="1" applyBorder="1" applyAlignment="1">
      <alignment horizontal="center" vertical="center" wrapText="1"/>
    </xf>
    <xf numFmtId="166" fontId="0" fillId="0" borderId="3" xfId="0" applyNumberFormat="1" applyBorder="1" applyAlignment="1">
      <alignment horizontal="left" vertical="center" wrapText="1"/>
    </xf>
    <xf numFmtId="0" fontId="0" fillId="0" borderId="3" xfId="0" applyBorder="1" applyAlignment="1">
      <alignment horizontal="left" vertical="center" wrapText="1"/>
    </xf>
    <xf numFmtId="43" fontId="38" fillId="0" borderId="45" xfId="0" applyNumberFormat="1" applyFont="1" applyBorder="1" applyAlignment="1">
      <alignment horizontal="center"/>
    </xf>
    <xf numFmtId="0" fontId="38" fillId="0" borderId="45" xfId="0" applyFont="1" applyBorder="1" applyAlignment="1">
      <alignment horizontal="center"/>
    </xf>
    <xf numFmtId="0" fontId="38" fillId="0" borderId="46" xfId="0" applyFont="1" applyBorder="1" applyAlignment="1">
      <alignment horizontal="center"/>
    </xf>
    <xf numFmtId="0" fontId="25" fillId="0" borderId="0" xfId="0" applyFont="1" applyAlignment="1">
      <alignment horizontal="center"/>
    </xf>
    <xf numFmtId="0" fontId="0" fillId="0" borderId="0" xfId="0" applyAlignment="1">
      <alignment horizontal="center"/>
    </xf>
    <xf numFmtId="0" fontId="25" fillId="9" borderId="3" xfId="0" applyFont="1" applyFill="1" applyBorder="1" applyAlignment="1">
      <alignment horizontal="left"/>
    </xf>
    <xf numFmtId="0" fontId="25" fillId="12" borderId="3" xfId="0" applyFont="1" applyFill="1" applyBorder="1" applyAlignment="1">
      <alignment horizontal="center" vertical="center"/>
    </xf>
    <xf numFmtId="0" fontId="25" fillId="12" borderId="3" xfId="0" applyFont="1" applyFill="1" applyBorder="1" applyAlignment="1">
      <alignment horizontal="center" vertical="center" wrapText="1"/>
    </xf>
    <xf numFmtId="0" fontId="0" fillId="0" borderId="3" xfId="0" applyBorder="1" applyAlignment="1">
      <alignment horizontal="center"/>
    </xf>
    <xf numFmtId="0" fontId="42" fillId="0" borderId="1" xfId="0" applyFont="1" applyBorder="1" applyAlignment="1">
      <alignment horizontal="center"/>
    </xf>
    <xf numFmtId="0" fontId="42" fillId="0" borderId="16" xfId="0" applyFont="1" applyBorder="1" applyAlignment="1">
      <alignment horizontal="center"/>
    </xf>
    <xf numFmtId="0" fontId="42" fillId="0" borderId="35" xfId="0" applyFont="1" applyBorder="1" applyAlignment="1">
      <alignment horizontal="center"/>
    </xf>
    <xf numFmtId="0" fontId="25" fillId="0" borderId="1" xfId="0" applyFont="1" applyBorder="1" applyAlignment="1">
      <alignment horizontal="center" vertical="center"/>
    </xf>
    <xf numFmtId="0" fontId="25" fillId="0" borderId="35" xfId="0" applyFont="1" applyBorder="1" applyAlignment="1">
      <alignment horizontal="center" vertical="center"/>
    </xf>
    <xf numFmtId="0" fontId="36" fillId="9" borderId="28" xfId="0" applyFont="1" applyFill="1" applyBorder="1" applyAlignment="1">
      <alignment horizontal="center" vertical="center"/>
    </xf>
    <xf numFmtId="0" fontId="36" fillId="9" borderId="29" xfId="0" applyFont="1" applyFill="1" applyBorder="1" applyAlignment="1">
      <alignment horizontal="center" vertical="center"/>
    </xf>
    <xf numFmtId="0" fontId="36" fillId="9" borderId="30" xfId="0" applyFont="1" applyFill="1" applyBorder="1" applyAlignment="1">
      <alignment horizontal="center" vertical="center"/>
    </xf>
    <xf numFmtId="0" fontId="36" fillId="9" borderId="31" xfId="0" applyFont="1" applyFill="1" applyBorder="1" applyAlignment="1">
      <alignment horizontal="center" vertical="center"/>
    </xf>
    <xf numFmtId="0" fontId="36" fillId="9" borderId="32" xfId="0" applyFont="1" applyFill="1" applyBorder="1" applyAlignment="1">
      <alignment horizontal="center" vertical="center"/>
    </xf>
    <xf numFmtId="0" fontId="36" fillId="9" borderId="33" xfId="0" applyFont="1" applyFill="1" applyBorder="1" applyAlignment="1">
      <alignment horizontal="center" vertical="center"/>
    </xf>
    <xf numFmtId="0" fontId="0" fillId="0" borderId="3" xfId="0" applyBorder="1" applyAlignment="1">
      <alignment horizontal="left"/>
    </xf>
    <xf numFmtId="1" fontId="0" fillId="0" borderId="4" xfId="0" applyNumberFormat="1" applyBorder="1" applyAlignment="1">
      <alignment horizontal="left"/>
    </xf>
    <xf numFmtId="1" fontId="0" fillId="0" borderId="34" xfId="0" applyNumberFormat="1" applyBorder="1" applyAlignment="1">
      <alignment horizontal="left"/>
    </xf>
    <xf numFmtId="1" fontId="0" fillId="0" borderId="2" xfId="0" applyNumberFormat="1" applyBorder="1" applyAlignment="1">
      <alignment horizontal="left"/>
    </xf>
    <xf numFmtId="1" fontId="0" fillId="0" borderId="4" xfId="0" applyNumberFormat="1" applyBorder="1" applyAlignment="1">
      <alignment horizontal="center"/>
    </xf>
    <xf numFmtId="1" fontId="0" fillId="0" borderId="2" xfId="0" applyNumberFormat="1" applyBorder="1" applyAlignment="1">
      <alignment horizontal="center"/>
    </xf>
    <xf numFmtId="0" fontId="0" fillId="0" borderId="4" xfId="0" applyBorder="1" applyAlignment="1">
      <alignment horizontal="left" vertical="center" wrapText="1"/>
    </xf>
    <xf numFmtId="0" fontId="35" fillId="12" borderId="4" xfId="0" applyFont="1" applyFill="1" applyBorder="1" applyAlignment="1">
      <alignment horizontal="center"/>
    </xf>
    <xf numFmtId="0" fontId="35" fillId="12" borderId="34" xfId="0" applyFont="1" applyFill="1" applyBorder="1" applyAlignment="1">
      <alignment horizontal="center"/>
    </xf>
    <xf numFmtId="0" fontId="35" fillId="12" borderId="2" xfId="0" applyFont="1" applyFill="1" applyBorder="1" applyAlignment="1">
      <alignment horizontal="center"/>
    </xf>
    <xf numFmtId="0" fontId="35" fillId="9" borderId="3" xfId="0" applyFont="1" applyFill="1" applyBorder="1" applyAlignment="1">
      <alignment horizontal="center" vertical="center" wrapText="1"/>
    </xf>
    <xf numFmtId="0" fontId="8" fillId="9" borderId="3" xfId="0" applyFont="1" applyFill="1" applyBorder="1" applyAlignment="1">
      <alignment horizontal="left" vertical="center" wrapText="1"/>
    </xf>
    <xf numFmtId="0" fontId="25" fillId="9" borderId="3" xfId="0" applyFont="1" applyFill="1" applyBorder="1" applyAlignment="1">
      <alignment horizontal="left" vertical="center" wrapText="1"/>
    </xf>
    <xf numFmtId="0" fontId="39" fillId="12" borderId="3" xfId="0" applyFont="1" applyFill="1" applyBorder="1" applyAlignment="1">
      <alignment horizontal="center"/>
    </xf>
    <xf numFmtId="0" fontId="18" fillId="0" borderId="4" xfId="0" applyFont="1" applyBorder="1" applyAlignment="1">
      <alignment horizontal="center"/>
    </xf>
    <xf numFmtId="0" fontId="18" fillId="0" borderId="2" xfId="0" applyFont="1" applyBorder="1" applyAlignment="1">
      <alignment horizontal="center"/>
    </xf>
    <xf numFmtId="167" fontId="0" fillId="0" borderId="3" xfId="0" applyNumberFormat="1" applyBorder="1" applyAlignment="1">
      <alignment horizontal="center"/>
    </xf>
    <xf numFmtId="164" fontId="47" fillId="0" borderId="4" xfId="1" applyFont="1" applyBorder="1" applyAlignment="1">
      <alignment horizontal="center"/>
    </xf>
    <xf numFmtId="164" fontId="47" fillId="0" borderId="2" xfId="1" applyFont="1" applyBorder="1" applyAlignment="1">
      <alignment horizontal="center"/>
    </xf>
    <xf numFmtId="0" fontId="25" fillId="0" borderId="3" xfId="0" applyFont="1" applyBorder="1" applyAlignment="1">
      <alignment horizontal="center" vertical="center" wrapText="1"/>
    </xf>
    <xf numFmtId="0" fontId="0" fillId="0" borderId="3" xfId="0" applyBorder="1" applyAlignment="1">
      <alignment horizontal="center" vertical="center" wrapText="1"/>
    </xf>
    <xf numFmtId="0" fontId="25" fillId="0" borderId="4" xfId="0" applyFont="1" applyBorder="1" applyAlignment="1">
      <alignment horizontal="center"/>
    </xf>
    <xf numFmtId="0" fontId="25" fillId="0" borderId="2" xfId="0" applyFont="1" applyBorder="1" applyAlignment="1">
      <alignment horizontal="center"/>
    </xf>
    <xf numFmtId="0" fontId="25" fillId="0" borderId="3" xfId="0" applyFont="1" applyBorder="1" applyAlignment="1">
      <alignment horizontal="center"/>
    </xf>
    <xf numFmtId="0" fontId="24" fillId="12" borderId="39" xfId="0" applyFont="1" applyFill="1" applyBorder="1" applyAlignment="1">
      <alignment horizontal="center"/>
    </xf>
    <xf numFmtId="0" fontId="25" fillId="12" borderId="7" xfId="0" applyFont="1" applyFill="1" applyBorder="1" applyAlignment="1">
      <alignment horizontal="center"/>
    </xf>
    <xf numFmtId="0" fontId="25" fillId="12" borderId="41" xfId="0" applyFont="1" applyFill="1" applyBorder="1" applyAlignment="1">
      <alignment horizontal="center"/>
    </xf>
    <xf numFmtId="0" fontId="25" fillId="12" borderId="3" xfId="0" applyFont="1" applyFill="1" applyBorder="1" applyAlignment="1">
      <alignment horizontal="center"/>
    </xf>
    <xf numFmtId="0" fontId="25" fillId="12" borderId="42" xfId="0" applyFont="1" applyFill="1" applyBorder="1" applyAlignment="1">
      <alignment horizontal="center"/>
    </xf>
    <xf numFmtId="0" fontId="25" fillId="12" borderId="6" xfId="0" applyFont="1" applyFill="1" applyBorder="1" applyAlignment="1">
      <alignment horizontal="center"/>
    </xf>
    <xf numFmtId="0" fontId="25" fillId="12" borderId="39" xfId="0" applyFont="1" applyFill="1" applyBorder="1" applyAlignment="1">
      <alignment horizontal="center"/>
    </xf>
    <xf numFmtId="0" fontId="35" fillId="12" borderId="9" xfId="0" applyFont="1" applyFill="1" applyBorder="1" applyAlignment="1">
      <alignment horizontal="center"/>
    </xf>
    <xf numFmtId="0" fontId="35" fillId="12" borderId="10" xfId="0" applyFont="1" applyFill="1" applyBorder="1" applyAlignment="1">
      <alignment horizontal="center"/>
    </xf>
    <xf numFmtId="0" fontId="35" fillId="12" borderId="12" xfId="0" applyFont="1" applyFill="1" applyBorder="1" applyAlignment="1">
      <alignment horizontal="center"/>
    </xf>
    <xf numFmtId="0" fontId="25" fillId="13" borderId="41" xfId="0" applyFont="1" applyFill="1" applyBorder="1" applyAlignment="1">
      <alignment horizontal="center"/>
    </xf>
    <xf numFmtId="0" fontId="25" fillId="13" borderId="3" xfId="0" applyFont="1" applyFill="1" applyBorder="1" applyAlignment="1">
      <alignment horizontal="center"/>
    </xf>
    <xf numFmtId="0" fontId="25" fillId="13" borderId="43" xfId="0" applyFont="1" applyFill="1" applyBorder="1" applyAlignment="1">
      <alignment horizontal="center"/>
    </xf>
    <xf numFmtId="43" fontId="38" fillId="0" borderId="44" xfId="12" applyFont="1" applyBorder="1" applyAlignment="1">
      <alignment horizontal="center" vertical="center"/>
    </xf>
    <xf numFmtId="43" fontId="38" fillId="0" borderId="45" xfId="12" applyFont="1" applyBorder="1" applyAlignment="1">
      <alignment horizontal="center" vertical="center"/>
    </xf>
    <xf numFmtId="0" fontId="25" fillId="12" borderId="36" xfId="0" applyFont="1" applyFill="1" applyBorder="1" applyAlignment="1">
      <alignment horizontal="center"/>
    </xf>
    <xf numFmtId="0" fontId="25" fillId="12" borderId="37" xfId="0" applyFont="1" applyFill="1" applyBorder="1" applyAlignment="1">
      <alignment horizontal="center"/>
    </xf>
    <xf numFmtId="0" fontId="25" fillId="12" borderId="44" xfId="0" applyFont="1" applyFill="1" applyBorder="1" applyAlignment="1">
      <alignment horizontal="center"/>
    </xf>
    <xf numFmtId="0" fontId="25" fillId="12" borderId="45" xfId="0" applyFont="1" applyFill="1" applyBorder="1" applyAlignment="1">
      <alignment horizontal="center"/>
    </xf>
    <xf numFmtId="0" fontId="25" fillId="12" borderId="6" xfId="0" applyFont="1" applyFill="1" applyBorder="1" applyAlignment="1">
      <alignment horizontal="center" vertical="center" wrapText="1"/>
    </xf>
    <xf numFmtId="0" fontId="48" fillId="0" borderId="4" xfId="0" applyFont="1" applyBorder="1" applyAlignment="1">
      <alignment horizontal="center"/>
    </xf>
    <xf numFmtId="0" fontId="48" fillId="0" borderId="34" xfId="0" applyFont="1" applyBorder="1" applyAlignment="1">
      <alignment horizontal="center"/>
    </xf>
    <xf numFmtId="0" fontId="21" fillId="12" borderId="3" xfId="0" applyFont="1" applyFill="1" applyBorder="1" applyAlignment="1">
      <alignment horizontal="center" vertical="center" wrapText="1"/>
    </xf>
    <xf numFmtId="0" fontId="0" fillId="12" borderId="3" xfId="0" applyFill="1" applyBorder="1" applyAlignment="1">
      <alignment horizontal="center"/>
    </xf>
    <xf numFmtId="0" fontId="39" fillId="12" borderId="4" xfId="0" applyFont="1" applyFill="1" applyBorder="1" applyAlignment="1">
      <alignment horizontal="center"/>
    </xf>
    <xf numFmtId="0" fontId="39" fillId="12" borderId="34" xfId="0" applyFont="1" applyFill="1" applyBorder="1" applyAlignment="1">
      <alignment horizontal="center"/>
    </xf>
    <xf numFmtId="0" fontId="18" fillId="12" borderId="3" xfId="0" applyFont="1" applyFill="1" applyBorder="1" applyAlignment="1">
      <alignment horizontal="center"/>
    </xf>
    <xf numFmtId="0" fontId="18" fillId="12" borderId="4" xfId="0" applyFont="1" applyFill="1" applyBorder="1" applyAlignment="1">
      <alignment horizontal="center"/>
    </xf>
    <xf numFmtId="167" fontId="0" fillId="0" borderId="4" xfId="0" applyNumberFormat="1" applyBorder="1" applyAlignment="1">
      <alignment horizontal="center"/>
    </xf>
    <xf numFmtId="0" fontId="39" fillId="0" borderId="3" xfId="0" applyFont="1" applyBorder="1" applyAlignment="1">
      <alignment horizontal="center" wrapText="1"/>
    </xf>
    <xf numFmtId="0" fontId="41" fillId="10" borderId="3" xfId="0" applyFont="1" applyFill="1" applyBorder="1" applyAlignment="1">
      <alignment horizontal="center" vertical="center" wrapText="1"/>
    </xf>
    <xf numFmtId="0" fontId="10" fillId="10" borderId="3" xfId="0" applyFont="1" applyFill="1" applyBorder="1" applyAlignment="1">
      <alignment horizontal="center" vertical="center" wrapText="1"/>
    </xf>
    <xf numFmtId="0" fontId="0" fillId="10" borderId="3" xfId="0" applyFill="1" applyBorder="1" applyAlignment="1">
      <alignment horizontal="center" vertical="center" wrapText="1"/>
    </xf>
    <xf numFmtId="0" fontId="16" fillId="12" borderId="3" xfId="0" applyFont="1" applyFill="1" applyBorder="1" applyAlignment="1">
      <alignment horizontal="center" vertical="center" wrapText="1"/>
    </xf>
    <xf numFmtId="0" fontId="16" fillId="0" borderId="3" xfId="0" applyFont="1" applyBorder="1" applyAlignment="1">
      <alignment horizontal="left" vertical="top" wrapText="1"/>
    </xf>
    <xf numFmtId="0" fontId="0" fillId="0" borderId="3" xfId="0" applyBorder="1" applyAlignment="1">
      <alignment horizontal="left" vertical="top" wrapText="1"/>
    </xf>
    <xf numFmtId="0" fontId="0" fillId="11" borderId="3" xfId="0" applyFill="1" applyBorder="1" applyAlignment="1">
      <alignment horizontal="center"/>
    </xf>
    <xf numFmtId="0" fontId="5" fillId="0" borderId="3" xfId="0" applyFont="1" applyBorder="1" applyAlignment="1">
      <alignment horizontal="left" vertical="center" wrapText="1"/>
    </xf>
    <xf numFmtId="0" fontId="25" fillId="0" borderId="3" xfId="0" applyFont="1" applyBorder="1" applyAlignment="1">
      <alignment horizontal="left" vertical="center" wrapText="1"/>
    </xf>
    <xf numFmtId="0" fontId="5" fillId="0" borderId="3" xfId="0" applyFont="1" applyBorder="1" applyAlignment="1">
      <alignment horizontal="left"/>
    </xf>
    <xf numFmtId="0" fontId="25" fillId="0" borderId="3" xfId="0" applyFont="1" applyBorder="1" applyAlignment="1">
      <alignment horizontal="left"/>
    </xf>
    <xf numFmtId="0" fontId="35" fillId="0" borderId="3" xfId="0" applyFont="1" applyBorder="1" applyAlignment="1">
      <alignment horizontal="left"/>
    </xf>
    <xf numFmtId="1" fontId="8" fillId="0" borderId="3" xfId="0" applyNumberFormat="1" applyFont="1" applyBorder="1" applyAlignment="1">
      <alignment horizontal="left"/>
    </xf>
    <xf numFmtId="1" fontId="25" fillId="0" borderId="3" xfId="0" applyNumberFormat="1" applyFont="1" applyBorder="1" applyAlignment="1">
      <alignment horizontal="left"/>
    </xf>
    <xf numFmtId="1" fontId="25" fillId="12" borderId="3" xfId="0" applyNumberFormat="1" applyFont="1" applyFill="1" applyBorder="1" applyAlignment="1">
      <alignment horizontal="left"/>
    </xf>
    <xf numFmtId="166" fontId="25" fillId="0" borderId="3" xfId="0" applyNumberFormat="1" applyFont="1" applyBorder="1" applyAlignment="1">
      <alignment horizontal="left" vertical="center" wrapText="1"/>
    </xf>
    <xf numFmtId="0" fontId="25" fillId="12" borderId="3" xfId="0" applyFont="1" applyFill="1" applyBorder="1" applyAlignment="1">
      <alignment horizontal="center" wrapText="1"/>
    </xf>
    <xf numFmtId="0" fontId="25" fillId="12" borderId="7" xfId="0" applyFont="1" applyFill="1" applyBorder="1" applyAlignment="1">
      <alignment horizontal="center" vertical="center"/>
    </xf>
    <xf numFmtId="0" fontId="0" fillId="12" borderId="3" xfId="0" applyFill="1" applyBorder="1" applyAlignment="1">
      <alignment horizontal="center" vertical="center"/>
    </xf>
    <xf numFmtId="0" fontId="0" fillId="12" borderId="4" xfId="0" applyFill="1" applyBorder="1" applyAlignment="1">
      <alignment horizontal="center"/>
    </xf>
    <xf numFmtId="0" fontId="0" fillId="12" borderId="2" xfId="0" applyFill="1" applyBorder="1" applyAlignment="1">
      <alignment horizontal="center"/>
    </xf>
    <xf numFmtId="0" fontId="0" fillId="12" borderId="6" xfId="0" applyFill="1" applyBorder="1" applyAlignment="1">
      <alignment horizontal="center" vertical="center"/>
    </xf>
    <xf numFmtId="0" fontId="0" fillId="12" borderId="7" xfId="0" applyFill="1" applyBorder="1" applyAlignment="1">
      <alignment horizontal="center" vertical="center"/>
    </xf>
    <xf numFmtId="0" fontId="0" fillId="12" borderId="6" xfId="0" applyFill="1" applyBorder="1" applyAlignment="1">
      <alignment horizontal="center" vertical="center" wrapText="1"/>
    </xf>
    <xf numFmtId="0" fontId="0" fillId="12" borderId="7" xfId="0" applyFill="1" applyBorder="1" applyAlignment="1">
      <alignment horizontal="center" vertical="center" wrapText="1"/>
    </xf>
    <xf numFmtId="0" fontId="38" fillId="12" borderId="31" xfId="0" applyFont="1" applyFill="1" applyBorder="1" applyAlignment="1">
      <alignment horizontal="center"/>
    </xf>
    <xf numFmtId="0" fontId="38" fillId="12" borderId="33" xfId="0" applyFont="1" applyFill="1" applyBorder="1" applyAlignment="1">
      <alignment horizontal="center"/>
    </xf>
    <xf numFmtId="0" fontId="22" fillId="12" borderId="3" xfId="0" applyFont="1" applyFill="1" applyBorder="1" applyAlignment="1">
      <alignment horizontal="center" wrapText="1"/>
    </xf>
    <xf numFmtId="0" fontId="36" fillId="20" borderId="3" xfId="0" applyFont="1" applyFill="1" applyBorder="1" applyAlignment="1">
      <alignment horizontal="center"/>
    </xf>
    <xf numFmtId="0" fontId="35" fillId="9" borderId="3" xfId="0" applyFont="1" applyFill="1" applyBorder="1" applyAlignment="1">
      <alignment horizontal="center"/>
    </xf>
    <xf numFmtId="0" fontId="16" fillId="12" borderId="4" xfId="0" applyFont="1" applyFill="1" applyBorder="1" applyAlignment="1">
      <alignment horizontal="center"/>
    </xf>
    <xf numFmtId="0" fontId="16" fillId="12" borderId="34" xfId="0" applyFont="1" applyFill="1" applyBorder="1" applyAlignment="1">
      <alignment horizontal="center"/>
    </xf>
    <xf numFmtId="0" fontId="5" fillId="0" borderId="3" xfId="0" applyFont="1" applyBorder="1" applyAlignment="1">
      <alignment horizontal="center"/>
    </xf>
    <xf numFmtId="0" fontId="3" fillId="0" borderId="3" xfId="0" applyFont="1" applyBorder="1" applyAlignment="1">
      <alignment horizontal="center"/>
    </xf>
    <xf numFmtId="0" fontId="5" fillId="12" borderId="3" xfId="0" applyFont="1" applyFill="1" applyBorder="1" applyAlignment="1">
      <alignment horizontal="center" vertical="center"/>
    </xf>
    <xf numFmtId="0" fontId="2" fillId="0" borderId="3" xfId="0" applyFont="1" applyBorder="1" applyAlignment="1">
      <alignment horizontal="center"/>
    </xf>
    <xf numFmtId="0" fontId="35" fillId="12" borderId="3" xfId="0" applyFont="1" applyFill="1" applyBorder="1" applyAlignment="1">
      <alignment horizontal="center"/>
    </xf>
    <xf numFmtId="0" fontId="42" fillId="12" borderId="3" xfId="0" applyFont="1" applyFill="1" applyBorder="1" applyAlignment="1">
      <alignment horizontal="center"/>
    </xf>
    <xf numFmtId="0" fontId="41" fillId="9" borderId="29" xfId="0" applyFont="1" applyFill="1" applyBorder="1" applyAlignment="1">
      <alignment horizontal="center" vertical="center" textRotation="255"/>
    </xf>
    <xf numFmtId="0" fontId="41" fillId="9" borderId="1" xfId="0" applyFont="1" applyFill="1" applyBorder="1" applyAlignment="1">
      <alignment horizontal="center" vertical="center" textRotation="255"/>
    </xf>
    <xf numFmtId="0" fontId="41" fillId="9" borderId="32" xfId="0" applyFont="1" applyFill="1" applyBorder="1" applyAlignment="1">
      <alignment horizontal="center" vertical="center" textRotation="255"/>
    </xf>
    <xf numFmtId="0" fontId="5" fillId="12" borderId="3" xfId="0" applyFont="1" applyFill="1" applyBorder="1" applyAlignment="1">
      <alignment horizontal="center"/>
    </xf>
    <xf numFmtId="0" fontId="5" fillId="12" borderId="3" xfId="0" applyFont="1" applyFill="1" applyBorder="1" applyAlignment="1">
      <alignment horizontal="center" vertical="center" wrapText="1"/>
    </xf>
    <xf numFmtId="0" fontId="16" fillId="9" borderId="3" xfId="0" applyFont="1" applyFill="1" applyBorder="1" applyAlignment="1">
      <alignment horizontal="center"/>
    </xf>
    <xf numFmtId="0" fontId="41" fillId="14" borderId="3" xfId="0" applyFont="1" applyFill="1" applyBorder="1" applyAlignment="1">
      <alignment horizontal="center" vertical="center" textRotation="255"/>
    </xf>
    <xf numFmtId="0" fontId="4" fillId="26" borderId="28" xfId="0" applyFont="1" applyFill="1" applyBorder="1" applyAlignment="1">
      <alignment horizontal="center" wrapText="1"/>
    </xf>
    <xf numFmtId="0" fontId="4" fillId="26" borderId="29" xfId="0" applyFont="1" applyFill="1" applyBorder="1" applyAlignment="1">
      <alignment horizontal="center" wrapText="1"/>
    </xf>
    <xf numFmtId="0" fontId="4" fillId="26" borderId="30" xfId="0" applyFont="1" applyFill="1" applyBorder="1" applyAlignment="1">
      <alignment horizontal="center" wrapText="1"/>
    </xf>
    <xf numFmtId="0" fontId="4" fillId="26" borderId="35" xfId="0" applyFont="1" applyFill="1" applyBorder="1" applyAlignment="1">
      <alignment horizontal="center" wrapText="1"/>
    </xf>
    <xf numFmtId="0" fontId="4" fillId="26" borderId="1" xfId="0" applyFont="1" applyFill="1" applyBorder="1" applyAlignment="1">
      <alignment horizontal="center" wrapText="1"/>
    </xf>
    <xf numFmtId="0" fontId="4" fillId="26" borderId="16" xfId="0" applyFont="1" applyFill="1" applyBorder="1" applyAlignment="1">
      <alignment horizontal="center" wrapText="1"/>
    </xf>
    <xf numFmtId="0" fontId="4" fillId="26" borderId="31" xfId="0" applyFont="1" applyFill="1" applyBorder="1" applyAlignment="1">
      <alignment horizontal="center" wrapText="1"/>
    </xf>
    <xf numFmtId="0" fontId="4" fillId="26" borderId="32" xfId="0" applyFont="1" applyFill="1" applyBorder="1" applyAlignment="1">
      <alignment horizontal="center" wrapText="1"/>
    </xf>
    <xf numFmtId="0" fontId="4" fillId="26" borderId="33" xfId="0" applyFont="1" applyFill="1" applyBorder="1" applyAlignment="1">
      <alignment horizontal="center" wrapText="1"/>
    </xf>
    <xf numFmtId="0" fontId="9" fillId="0" borderId="0" xfId="0" applyFont="1" applyAlignment="1">
      <alignment horizontal="center"/>
    </xf>
    <xf numFmtId="0" fontId="0" fillId="12" borderId="5" xfId="0" applyFill="1" applyBorder="1" applyAlignment="1">
      <alignment horizontal="center" vertical="center"/>
    </xf>
    <xf numFmtId="0" fontId="25" fillId="12" borderId="6" xfId="0" applyFont="1" applyFill="1" applyBorder="1" applyAlignment="1">
      <alignment horizontal="center" vertical="center"/>
    </xf>
    <xf numFmtId="0" fontId="21" fillId="0" borderId="1" xfId="0" applyFont="1" applyBorder="1" applyAlignment="1">
      <alignment horizontal="center" wrapText="1"/>
    </xf>
    <xf numFmtId="0" fontId="33" fillId="2" borderId="28" xfId="0" applyFont="1" applyFill="1" applyBorder="1" applyAlignment="1">
      <alignment horizontal="center" vertical="center" wrapText="1"/>
    </xf>
    <xf numFmtId="0" fontId="33" fillId="2" borderId="29" xfId="0" applyFont="1" applyFill="1" applyBorder="1" applyAlignment="1">
      <alignment horizontal="center" vertical="center" wrapText="1"/>
    </xf>
    <xf numFmtId="0" fontId="33" fillId="2" borderId="30" xfId="0" applyFont="1" applyFill="1" applyBorder="1" applyAlignment="1">
      <alignment horizontal="center" vertical="center" wrapText="1"/>
    </xf>
    <xf numFmtId="0" fontId="33" fillId="2" borderId="31" xfId="0" applyFont="1" applyFill="1" applyBorder="1" applyAlignment="1">
      <alignment horizontal="center" vertical="center" wrapText="1"/>
    </xf>
    <xf numFmtId="0" fontId="33" fillId="2" borderId="32" xfId="0" applyFont="1" applyFill="1" applyBorder="1" applyAlignment="1">
      <alignment horizontal="center" vertical="center" wrapText="1"/>
    </xf>
    <xf numFmtId="0" fontId="33" fillId="2" borderId="33"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25" fillId="0" borderId="23" xfId="0" applyFont="1" applyBorder="1" applyAlignment="1">
      <alignment horizontal="center" vertical="center" wrapText="1"/>
    </xf>
    <xf numFmtId="0" fontId="25" fillId="0" borderId="24"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25" xfId="0" applyFont="1" applyBorder="1" applyAlignment="1">
      <alignment horizontal="center" vertical="center" wrapText="1"/>
    </xf>
    <xf numFmtId="0" fontId="25" fillId="0" borderId="26" xfId="0" applyFont="1" applyBorder="1" applyAlignment="1">
      <alignment horizontal="center" vertical="center" wrapText="1"/>
    </xf>
    <xf numFmtId="0" fontId="25" fillId="0" borderId="27" xfId="0" applyFont="1" applyBorder="1" applyAlignment="1">
      <alignment horizontal="center" vertical="center" wrapText="1"/>
    </xf>
    <xf numFmtId="0" fontId="25" fillId="0" borderId="1" xfId="0" applyFont="1" applyBorder="1" applyAlignment="1">
      <alignment horizontal="right"/>
    </xf>
    <xf numFmtId="0" fontId="25" fillId="0" borderId="16" xfId="0" applyFont="1" applyBorder="1" applyAlignment="1">
      <alignment horizontal="right"/>
    </xf>
    <xf numFmtId="0" fontId="25" fillId="4" borderId="3" xfId="0" applyFont="1" applyFill="1" applyBorder="1" applyAlignment="1">
      <alignment horizontal="center" vertical="center" wrapText="1"/>
    </xf>
    <xf numFmtId="0" fontId="33" fillId="2" borderId="3" xfId="0" applyFont="1" applyFill="1" applyBorder="1" applyAlignment="1">
      <alignment horizontal="center" vertical="center" wrapText="1"/>
    </xf>
    <xf numFmtId="0" fontId="25" fillId="0" borderId="0" xfId="0" applyFont="1" applyAlignment="1">
      <alignment horizontal="left"/>
    </xf>
    <xf numFmtId="0" fontId="0" fillId="0" borderId="0" xfId="0" applyAlignment="1">
      <alignment horizontal="left"/>
    </xf>
    <xf numFmtId="0" fontId="35" fillId="0" borderId="3" xfId="23" applyFont="1" applyBorder="1" applyAlignment="1">
      <alignment horizontal="center" vertical="center"/>
    </xf>
    <xf numFmtId="0" fontId="35" fillId="0" borderId="3" xfId="23" applyFont="1" applyBorder="1" applyAlignment="1">
      <alignment vertical="center"/>
    </xf>
    <xf numFmtId="0" fontId="13" fillId="0" borderId="3" xfId="23" applyBorder="1" applyAlignment="1">
      <alignment horizontal="center" vertical="center" wrapText="1"/>
    </xf>
    <xf numFmtId="0" fontId="13" fillId="0" borderId="3" xfId="23" applyBorder="1" applyAlignment="1">
      <alignment horizontal="center" vertical="center"/>
    </xf>
    <xf numFmtId="0" fontId="13" fillId="0" borderId="3" xfId="23" applyBorder="1" applyAlignment="1">
      <alignment vertical="center"/>
    </xf>
    <xf numFmtId="0" fontId="9" fillId="0" borderId="7" xfId="25" applyBorder="1" applyAlignment="1">
      <alignment wrapText="1"/>
    </xf>
    <xf numFmtId="0" fontId="9" fillId="0" borderId="40" xfId="25" applyBorder="1" applyAlignment="1">
      <alignment wrapText="1"/>
    </xf>
    <xf numFmtId="0" fontId="9" fillId="0" borderId="3" xfId="25" applyBorder="1" applyAlignment="1">
      <alignment wrapText="1"/>
    </xf>
    <xf numFmtId="0" fontId="9" fillId="0" borderId="43" xfId="25" applyBorder="1" applyAlignment="1">
      <alignment wrapText="1"/>
    </xf>
    <xf numFmtId="0" fontId="9" fillId="0" borderId="6" xfId="25" applyBorder="1" applyAlignment="1">
      <alignment wrapText="1"/>
    </xf>
    <xf numFmtId="0" fontId="9" fillId="0" borderId="46" xfId="25" applyBorder="1" applyAlignment="1">
      <alignment wrapText="1"/>
    </xf>
    <xf numFmtId="0" fontId="9" fillId="0" borderId="19" xfId="25" applyBorder="1" applyAlignment="1">
      <alignment vertical="center"/>
    </xf>
    <xf numFmtId="0" fontId="9" fillId="0" borderId="67" xfId="25" applyBorder="1" applyAlignment="1">
      <alignment vertical="center"/>
    </xf>
    <xf numFmtId="0" fontId="35" fillId="17" borderId="68" xfId="25" applyFont="1" applyFill="1" applyBorder="1" applyAlignment="1">
      <alignment horizontal="center" vertical="center"/>
    </xf>
    <xf numFmtId="0" fontId="35" fillId="17" borderId="11" xfId="25" applyFont="1" applyFill="1" applyBorder="1" applyAlignment="1">
      <alignment horizontal="center" vertical="center"/>
    </xf>
    <xf numFmtId="0" fontId="35" fillId="17" borderId="67" xfId="25" applyFont="1" applyFill="1" applyBorder="1" applyAlignment="1">
      <alignment horizontal="center" vertical="center"/>
    </xf>
    <xf numFmtId="0" fontId="9" fillId="0" borderId="69" xfId="25" applyBorder="1" applyAlignment="1">
      <alignment vertical="center" wrapText="1"/>
    </xf>
    <xf numFmtId="0" fontId="9" fillId="0" borderId="70" xfId="25" applyBorder="1" applyAlignment="1">
      <alignment vertical="center" wrapText="1"/>
    </xf>
    <xf numFmtId="0" fontId="9" fillId="0" borderId="71" xfId="25" applyBorder="1" applyAlignment="1">
      <alignment vertical="center" wrapText="1"/>
    </xf>
    <xf numFmtId="0" fontId="9" fillId="0" borderId="72" xfId="25" applyBorder="1" applyAlignment="1">
      <alignment vertical="top" wrapText="1"/>
    </xf>
    <xf numFmtId="0" fontId="9" fillId="0" borderId="73" xfId="25" applyBorder="1" applyAlignment="1">
      <alignment vertical="top" wrapText="1"/>
    </xf>
    <xf numFmtId="0" fontId="9" fillId="0" borderId="15" xfId="25" applyBorder="1" applyAlignment="1">
      <alignment vertical="top" wrapText="1"/>
    </xf>
    <xf numFmtId="0" fontId="35" fillId="0" borderId="10" xfId="25" applyFont="1" applyBorder="1" applyAlignment="1">
      <alignment horizontal="center" vertical="center" wrapText="1"/>
    </xf>
    <xf numFmtId="0" fontId="35" fillId="0" borderId="12" xfId="25" applyFont="1" applyBorder="1" applyAlignment="1">
      <alignment horizontal="center" vertical="center" wrapText="1"/>
    </xf>
    <xf numFmtId="0" fontId="1" fillId="0" borderId="3" xfId="0" applyFont="1" applyBorder="1" applyAlignment="1">
      <alignment horizontal="center"/>
    </xf>
  </cellXfs>
  <cellStyles count="26">
    <cellStyle name="Hipervínculo" xfId="14" builtinId="8"/>
    <cellStyle name="Millares" xfId="12" builtinId="3"/>
    <cellStyle name="Millares 2" xfId="3" xr:uid="{00000000-0005-0000-0000-000001000000}"/>
    <cellStyle name="Millares 3" xfId="5" xr:uid="{00000000-0005-0000-0000-000002000000}"/>
    <cellStyle name="Moneda" xfId="1" builtinId="4"/>
    <cellStyle name="Moneda 2" xfId="7" xr:uid="{00000000-0005-0000-0000-000004000000}"/>
    <cellStyle name="Moneda 2 2" xfId="8" xr:uid="{00000000-0005-0000-0000-000005000000}"/>
    <cellStyle name="Normal" xfId="0" builtinId="0"/>
    <cellStyle name="Normal 10" xfId="20" xr:uid="{8601E44B-F84A-404A-8E33-B416238BA4C1}"/>
    <cellStyle name="Normal 11" xfId="21" xr:uid="{30B4D2EE-ADD9-4A4D-AC17-B50AE86B7C3B}"/>
    <cellStyle name="Normal 12" xfId="22" xr:uid="{2B87FA8A-883B-4B59-85F8-7775940953DB}"/>
    <cellStyle name="Normal 13" xfId="23" xr:uid="{F0A47DA2-41A8-491F-A623-851D000BEDD1}"/>
    <cellStyle name="Normal 14" xfId="24" xr:uid="{765E03E5-323B-48F1-83E4-8208248F8C80}"/>
    <cellStyle name="Normal 15" xfId="25" xr:uid="{88C1BDD3-C067-429A-8AE8-F04D3C54D782}"/>
    <cellStyle name="Normal 2" xfId="2" xr:uid="{00000000-0005-0000-0000-000007000000}"/>
    <cellStyle name="Normal 3" xfId="6" xr:uid="{00000000-0005-0000-0000-000008000000}"/>
    <cellStyle name="Normal 4" xfId="9" xr:uid="{00000000-0005-0000-0000-000009000000}"/>
    <cellStyle name="Normal 5" xfId="10" xr:uid="{C30B6266-227C-492D-9A56-A0FB9AB03690}"/>
    <cellStyle name="Normal 6" xfId="15" xr:uid="{2AE3009C-DCC3-489E-A9A3-5277DFC65D3F}"/>
    <cellStyle name="Normal 7" xfId="17" xr:uid="{9EECAC04-490F-419F-B650-32480694521A}"/>
    <cellStyle name="Normal 8" xfId="18" xr:uid="{D19C46D3-2CE0-4370-AC18-5BB1F023CD5B}"/>
    <cellStyle name="Normal 9" xfId="19" xr:uid="{E43F86DA-99E1-410F-8E9C-38BC456CECF0}"/>
    <cellStyle name="Porcentaje" xfId="13" builtinId="5"/>
    <cellStyle name="Porcentaje 2" xfId="4" xr:uid="{00000000-0005-0000-0000-00000B000000}"/>
    <cellStyle name="Porcentaje 3" xfId="11" xr:uid="{967334B2-3846-481A-A8CD-135D5F38B312}"/>
    <cellStyle name="Porcentaje 4" xfId="16" xr:uid="{86EA0BD8-89E3-45E4-93C0-7D8440B20B9E}"/>
  </cellStyles>
  <dxfs count="37">
    <dxf>
      <font>
        <b/>
        <i val="0"/>
        <strike val="0"/>
        <color theme="0"/>
      </font>
      <fill>
        <patternFill>
          <fgColor theme="5"/>
          <bgColor rgb="FFFF0000"/>
        </patternFill>
      </fill>
    </dxf>
    <dxf>
      <font>
        <b/>
        <i val="0"/>
        <color theme="0"/>
      </font>
      <fill>
        <patternFill>
          <bgColor rgb="FFFF0000"/>
        </patternFill>
      </fill>
    </dxf>
    <dxf>
      <font>
        <b/>
        <i val="0"/>
        <color rgb="FFFF0000"/>
      </font>
    </dxf>
    <dxf>
      <font>
        <b/>
        <i val="0"/>
        <color rgb="FFFF0000"/>
      </font>
    </dxf>
    <dxf>
      <font>
        <b/>
        <i val="0"/>
        <color rgb="FFFF0000"/>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indexed="8"/>
        <name val="Calibri"/>
        <family val="2"/>
        <scheme val="none"/>
      </font>
    </dxf>
    <dxf>
      <font>
        <b/>
        <family val="2"/>
      </font>
    </dxf>
    <dxf>
      <font>
        <b/>
        <family val="2"/>
      </font>
    </dxf>
    <dxf>
      <font>
        <b val="0"/>
        <i val="0"/>
        <strike val="0"/>
        <condense val="0"/>
        <extend val="0"/>
        <outline val="0"/>
        <shadow val="0"/>
        <u val="none"/>
        <vertAlign val="baseline"/>
        <sz val="11"/>
        <color indexed="8"/>
        <name val="Calibri"/>
        <family val="2"/>
        <scheme val="none"/>
      </font>
    </dxf>
    <dxf>
      <font>
        <b/>
        <family val="2"/>
      </font>
    </dxf>
    <dxf>
      <font>
        <b/>
        <family val="2"/>
      </font>
    </dxf>
    <dxf>
      <font>
        <b val="0"/>
        <i val="0"/>
        <strike val="0"/>
        <condense val="0"/>
        <extend val="0"/>
        <outline val="0"/>
        <shadow val="0"/>
        <u val="none"/>
        <vertAlign val="baseline"/>
        <sz val="11"/>
        <color indexed="8"/>
        <name val="Calibri"/>
        <family val="2"/>
        <scheme val="none"/>
      </font>
    </dxf>
    <dxf>
      <font>
        <b/>
        <family val="2"/>
      </font>
    </dxf>
    <dxf>
      <font>
        <b/>
        <family val="2"/>
      </font>
    </dxf>
    <dxf>
      <font>
        <b val="0"/>
        <i val="0"/>
        <strike val="0"/>
        <condense val="0"/>
        <extend val="0"/>
        <outline val="0"/>
        <shadow val="0"/>
        <u val="none"/>
        <vertAlign val="baseline"/>
        <sz val="11"/>
        <color indexed="8"/>
        <name val="Calibri"/>
        <family val="2"/>
        <scheme val="none"/>
      </font>
    </dxf>
    <dxf>
      <font>
        <b/>
        <family val="2"/>
      </font>
    </dxf>
    <dxf>
      <font>
        <b/>
        <family val="2"/>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theme="1"/>
        <name val="Arial"/>
        <scheme val="minor"/>
      </font>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rial"/>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scheme val="minor"/>
      </font>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minor"/>
      </font>
    </dxf>
    <dxf>
      <border outline="0">
        <bottom style="thin">
          <color indexed="64"/>
        </bottom>
      </border>
    </dxf>
    <dxf>
      <font>
        <b val="0"/>
        <i val="0"/>
        <strike val="0"/>
        <condense val="0"/>
        <extend val="0"/>
        <outline val="0"/>
        <shadow val="0"/>
        <u val="none"/>
        <vertAlign val="baseline"/>
        <sz val="11"/>
        <color theme="1"/>
        <name val="Arial"/>
        <family val="2"/>
        <scheme val="minor"/>
      </font>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baseline="0">
                <a:solidFill>
                  <a:schemeClr val="tx1">
                    <a:lumMod val="65000"/>
                    <a:lumOff val="35000"/>
                  </a:schemeClr>
                </a:solidFill>
                <a:latin typeface="+mn-lt"/>
                <a:ea typeface="+mn-ea"/>
                <a:cs typeface="+mn-cs"/>
              </a:defRPr>
            </a:pPr>
            <a:r>
              <a:rPr lang="es-PE" sz="1200"/>
              <a:t>Colaboradores</a:t>
            </a:r>
          </a:p>
        </c:rich>
      </c:tx>
      <c:layout>
        <c:manualLayout>
          <c:xMode val="edge"/>
          <c:yMode val="edge"/>
          <c:x val="0.25177527932230626"/>
          <c:y val="3.3421190203857858E-2"/>
        </c:manualLayout>
      </c:layout>
      <c:overlay val="0"/>
      <c:spPr>
        <a:noFill/>
        <a:ln>
          <a:noFill/>
        </a:ln>
        <a:effectLst/>
      </c:spPr>
      <c:txPr>
        <a:bodyPr rot="0" spcFirstLastPara="1" vertOverflow="ellipsis" vert="horz" wrap="square" anchor="ctr" anchorCtr="1"/>
        <a:lstStyle/>
        <a:p>
          <a:pPr>
            <a:defRPr sz="1200" b="1" i="0" u="none" strike="noStrike" kern="1200" cap="all" baseline="0">
              <a:solidFill>
                <a:schemeClr val="tx1">
                  <a:lumMod val="65000"/>
                  <a:lumOff val="35000"/>
                </a:schemeClr>
              </a:solidFill>
              <a:latin typeface="+mn-lt"/>
              <a:ea typeface="+mn-ea"/>
              <a:cs typeface="+mn-cs"/>
            </a:defRPr>
          </a:pPr>
          <a:endParaRPr lang="es-PE"/>
        </a:p>
      </c:txPr>
    </c:title>
    <c:autoTitleDeleted val="0"/>
    <c:plotArea>
      <c:layout/>
      <c:pieChart>
        <c:varyColors val="1"/>
        <c:ser>
          <c:idx val="0"/>
          <c:order val="0"/>
          <c:spPr>
            <a:scene3d>
              <a:camera prst="orthographicFront"/>
              <a:lightRig rig="threePt" dir="t"/>
            </a:scene3d>
            <a:sp3d prstMaterial="matte">
              <a:bevelT w="63500" h="63500" prst="artDeco"/>
              <a:contourClr>
                <a:srgbClr val="000000"/>
              </a:contourClr>
            </a:sp3d>
          </c:spPr>
          <c:dPt>
            <c:idx val="0"/>
            <c:bubble3D val="0"/>
            <c:spPr>
              <a:solidFill>
                <a:schemeClr val="accent1"/>
              </a:solidFill>
              <a:ln>
                <a:noFill/>
              </a:ln>
              <a:effectLst>
                <a:outerShdw blurRad="63500" sx="102000" sy="102000" algn="ctr" rotWithShape="0">
                  <a:prstClr val="black">
                    <a:alpha val="20000"/>
                  </a:prstClr>
                </a:outerShdw>
              </a:effectLst>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1-CDC0-4DD9-B074-A2A5EC5CD27F}"/>
              </c:ext>
            </c:extLst>
          </c:dPt>
          <c:dPt>
            <c:idx val="1"/>
            <c:bubble3D val="0"/>
            <c:spPr>
              <a:solidFill>
                <a:schemeClr val="accent2"/>
              </a:solidFill>
              <a:ln>
                <a:noFill/>
              </a:ln>
              <a:effectLst>
                <a:outerShdw blurRad="63500" sx="102000" sy="102000" algn="ctr" rotWithShape="0">
                  <a:prstClr val="black">
                    <a:alpha val="20000"/>
                  </a:prstClr>
                </a:outerShdw>
              </a:effectLst>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3-CDC0-4DD9-B074-A2A5EC5CD27F}"/>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spc="0" baseline="0">
                      <a:solidFill>
                        <a:schemeClr val="accent1"/>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1-CDC0-4DD9-B074-A2A5EC5CD27F}"/>
                </c:ext>
              </c:extLst>
            </c:dLbl>
            <c:dLbl>
              <c:idx val="1"/>
              <c:spPr>
                <a:noFill/>
                <a:ln>
                  <a:noFill/>
                </a:ln>
                <a:effectLst/>
              </c:spPr>
              <c:txPr>
                <a:bodyPr rot="0" spcFirstLastPara="1" vertOverflow="ellipsis" vert="horz" wrap="square" lIns="38100" tIns="19050" rIns="38100" bIns="19050" anchor="ctr" anchorCtr="1">
                  <a:spAutoFit/>
                </a:bodyPr>
                <a:lstStyle/>
                <a:p>
                  <a:pPr>
                    <a:defRPr sz="900" b="1" i="0" u="none" strike="noStrike" kern="1200" spc="0" baseline="0">
                      <a:solidFill>
                        <a:schemeClr val="accent2"/>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3-CDC0-4DD9-B074-A2A5EC5CD27F}"/>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spc="0" baseline="0">
                    <a:solidFill>
                      <a:schemeClr val="accent1"/>
                    </a:solidFill>
                    <a:latin typeface="+mn-lt"/>
                    <a:ea typeface="+mn-ea"/>
                    <a:cs typeface="+mn-cs"/>
                  </a:defRPr>
                </a:pPr>
                <a:endParaRPr lang="es-PE"/>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Hoja2!$C$16:$D$16</c:f>
              <c:strCache>
                <c:ptCount val="2"/>
                <c:pt idx="0">
                  <c:v>Hombres</c:v>
                </c:pt>
                <c:pt idx="1">
                  <c:v>Mujeres</c:v>
                </c:pt>
              </c:strCache>
            </c:strRef>
          </c:cat>
          <c:val>
            <c:numRef>
              <c:f>Hoja2!$C$17:$D$17</c:f>
              <c:numCache>
                <c:formatCode>General</c:formatCode>
                <c:ptCount val="2"/>
                <c:pt idx="0">
                  <c:v>0</c:v>
                </c:pt>
                <c:pt idx="1">
                  <c:v>0</c:v>
                </c:pt>
              </c:numCache>
            </c:numRef>
          </c:val>
          <c:extLst>
            <c:ext xmlns:c16="http://schemas.microsoft.com/office/drawing/2014/chart" uri="{C3380CC4-5D6E-409C-BE32-E72D297353CC}">
              <c16:uniqueId val="{00000004-CDC0-4DD9-B074-A2A5EC5CD27F}"/>
            </c:ext>
          </c:extLst>
        </c:ser>
        <c:ser>
          <c:idx val="1"/>
          <c:order val="1"/>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6-CDC0-4DD9-B074-A2A5EC5CD27F}"/>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8-CDC0-4DD9-B074-A2A5EC5CD27F}"/>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A-CDC0-4DD9-B074-A2A5EC5CD27F}"/>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6-CDC0-4DD9-B074-A2A5EC5CD27F}"/>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8-CDC0-4DD9-B074-A2A5EC5CD27F}"/>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A-CDC0-4DD9-B074-A2A5EC5CD27F}"/>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Hoja2!$C$16:$D$16</c:f>
              <c:strCache>
                <c:ptCount val="2"/>
                <c:pt idx="0">
                  <c:v>Hombres</c:v>
                </c:pt>
                <c:pt idx="1">
                  <c:v>Mujeres</c:v>
                </c:pt>
              </c:strCache>
            </c:strRef>
          </c:cat>
          <c:val>
            <c:numRef>
              <c:f>Hoja2!$B$18:$D$18</c:f>
              <c:numCache>
                <c:formatCode>0%</c:formatCode>
                <c:ptCount val="3"/>
                <c:pt idx="0">
                  <c:v>0</c:v>
                </c:pt>
                <c:pt idx="1">
                  <c:v>0</c:v>
                </c:pt>
                <c:pt idx="2">
                  <c:v>0</c:v>
                </c:pt>
              </c:numCache>
            </c:numRef>
          </c:val>
          <c:extLst>
            <c:ext xmlns:c16="http://schemas.microsoft.com/office/drawing/2014/chart" uri="{C3380CC4-5D6E-409C-BE32-E72D297353CC}">
              <c16:uniqueId val="{0000000B-CDC0-4DD9-B074-A2A5EC5CD27F}"/>
            </c:ext>
          </c:extLst>
        </c:ser>
        <c:dLbls>
          <c:dLblPos val="outEnd"/>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s-PE" sz="1200" b="1"/>
              <a:t>DISTRIBUCIÓN CONSUMO </a:t>
            </a:r>
          </a:p>
          <a:p>
            <a:pPr>
              <a:defRPr sz="1200" b="1"/>
            </a:pPr>
            <a:r>
              <a:rPr lang="es-PE" sz="1200" b="1"/>
              <a:t>DE ENERGIA TERMICA</a:t>
            </a:r>
          </a:p>
        </c:rich>
      </c:tx>
      <c:layout>
        <c:manualLayout>
          <c:xMode val="edge"/>
          <c:yMode val="edge"/>
          <c:x val="7.4892924499692828E-2"/>
          <c:y val="8.9910061620250101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manualLayout>
          <c:layoutTarget val="inner"/>
          <c:xMode val="edge"/>
          <c:yMode val="edge"/>
          <c:x val="0.34161198142854193"/>
          <c:y val="0.11279087438832841"/>
          <c:w val="0.49580752150433571"/>
          <c:h val="0.806367945009968"/>
        </c:manualLayout>
      </c:layout>
      <c:pieChart>
        <c:varyColors val="1"/>
        <c:ser>
          <c:idx val="0"/>
          <c:order val="0"/>
          <c:explosion val="11"/>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6C1-45B7-927A-875C01EE2EE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6C1-45B7-927A-875C01EE2EE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6C1-45B7-927A-875C01EE2EE5}"/>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6C1-45B7-927A-875C01EE2EE5}"/>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6C1-45B7-927A-875C01EE2EE5}"/>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16C1-45B7-927A-875C01EE2EE5}"/>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16C1-45B7-927A-875C01EE2EE5}"/>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16C1-45B7-927A-875C01EE2EE5}"/>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16C1-45B7-927A-875C01EE2EE5}"/>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16C1-45B7-927A-875C01EE2EE5}"/>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16C1-45B7-927A-875C01EE2EE5}"/>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16C1-45B7-927A-875C01EE2EE5}"/>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16C1-45B7-927A-875C01EE2EE5}"/>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16C1-45B7-927A-875C01EE2EE5}"/>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16C1-45B7-927A-875C01EE2EE5}"/>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16C1-45B7-927A-875C01EE2EE5}"/>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21-16C1-45B7-927A-875C01EE2EE5}"/>
              </c:ext>
            </c:extLst>
          </c:dPt>
          <c:dPt>
            <c:idx val="17"/>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23-16C1-45B7-927A-875C01EE2EE5}"/>
              </c:ext>
            </c:extLst>
          </c:dPt>
          <c:dPt>
            <c:idx val="18"/>
            <c:bubble3D val="0"/>
            <c:spPr>
              <a:solidFill>
                <a:schemeClr val="accent1">
                  <a:lumMod val="80000"/>
                </a:schemeClr>
              </a:solidFill>
              <a:ln w="19050">
                <a:solidFill>
                  <a:schemeClr val="lt1"/>
                </a:solidFill>
              </a:ln>
              <a:effectLst/>
            </c:spPr>
            <c:extLst>
              <c:ext xmlns:c16="http://schemas.microsoft.com/office/drawing/2014/chart" uri="{C3380CC4-5D6E-409C-BE32-E72D297353CC}">
                <c16:uniqueId val="{00000025-16C1-45B7-927A-875C01EE2EE5}"/>
              </c:ext>
            </c:extLst>
          </c:dPt>
          <c:dPt>
            <c:idx val="1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27-16C1-45B7-927A-875C01EE2EE5}"/>
              </c:ext>
            </c:extLst>
          </c:dPt>
          <c:dPt>
            <c:idx val="20"/>
            <c:bubble3D val="0"/>
            <c:spPr>
              <a:solidFill>
                <a:schemeClr val="accent3">
                  <a:lumMod val="80000"/>
                </a:schemeClr>
              </a:solidFill>
              <a:ln w="19050">
                <a:solidFill>
                  <a:schemeClr val="lt1"/>
                </a:solidFill>
              </a:ln>
              <a:effectLst/>
            </c:spPr>
            <c:extLst>
              <c:ext xmlns:c16="http://schemas.microsoft.com/office/drawing/2014/chart" uri="{C3380CC4-5D6E-409C-BE32-E72D297353CC}">
                <c16:uniqueId val="{00000029-16C1-45B7-927A-875C01EE2EE5}"/>
              </c:ext>
            </c:extLst>
          </c:dPt>
          <c:dPt>
            <c:idx val="21"/>
            <c:bubble3D val="0"/>
            <c:spPr>
              <a:solidFill>
                <a:schemeClr val="accent4">
                  <a:lumMod val="80000"/>
                </a:schemeClr>
              </a:solidFill>
              <a:ln w="19050">
                <a:solidFill>
                  <a:schemeClr val="lt1"/>
                </a:solidFill>
              </a:ln>
              <a:effectLst/>
            </c:spPr>
            <c:extLst>
              <c:ext xmlns:c16="http://schemas.microsoft.com/office/drawing/2014/chart" uri="{C3380CC4-5D6E-409C-BE32-E72D297353CC}">
                <c16:uniqueId val="{0000002B-16C1-45B7-927A-875C01EE2EE5}"/>
              </c:ext>
            </c:extLst>
          </c:dPt>
          <c:dLbls>
            <c:dLbl>
              <c:idx val="6"/>
              <c:layout>
                <c:manualLayout>
                  <c:x val="-6.0849798112437035E-2"/>
                  <c:y val="-9.65947921071709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16C1-45B7-927A-875C01EE2EE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P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f>Hoja1!$DS$56:$DS$77</c:f>
              <c:numCache>
                <c:formatCode>General</c:formatCode>
                <c:ptCount val="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cat>
          <c:val>
            <c:numRef>
              <c:f>Hoja1!$DU$56:$DU$77</c:f>
              <c:numCache>
                <c:formatCode>0%</c:formatCode>
                <c:ptCount val="2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numCache>
            </c:numRef>
          </c:val>
          <c:extLst>
            <c:ext xmlns:c16="http://schemas.microsoft.com/office/drawing/2014/chart" uri="{C3380CC4-5D6E-409C-BE32-E72D297353CC}">
              <c16:uniqueId val="{0000002C-16C1-45B7-927A-875C01EE2EE5}"/>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a:sp3d>
  </c:spPr>
  <c:txPr>
    <a:bodyPr/>
    <a:lstStyle/>
    <a:p>
      <a:pPr>
        <a:defRPr/>
      </a:pPr>
      <a:endParaRPr lang="es-PE"/>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sz="1400" b="0" i="0" u="none" strike="noStrike" kern="1200" spc="0" baseline="0">
                <a:solidFill>
                  <a:srgbClr val="000000">
                    <a:lumMod val="65000"/>
                    <a:lumOff val="35000"/>
                  </a:srgbClr>
                </a:solidFill>
              </a:rPr>
              <a:t>Costo en Energía S/. </a:t>
            </a:r>
            <a:r>
              <a:rPr lang="es-PE" baseline="0"/>
              <a:t>(electricidad+combustibles)</a:t>
            </a:r>
            <a:endParaRPr lang="es-P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en energía</c:v>
          </c:tx>
          <c:spPr>
            <a:ln w="28575" cap="rnd">
              <a:solidFill>
                <a:schemeClr val="accent1"/>
              </a:solidFill>
              <a:round/>
            </a:ln>
            <a:effectLst/>
          </c:spPr>
          <c:marker>
            <c:symbol val="none"/>
          </c:marker>
          <c:cat>
            <c:numRef>
              <c:f>Hoja1!$BR$6:$BR$17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Hoja1!$BU$6:$BU$17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B0F9-431A-8B16-BA4FA1AFA60F}"/>
            </c:ext>
          </c:extLst>
        </c:ser>
        <c:dLbls>
          <c:showLegendKey val="0"/>
          <c:showVal val="0"/>
          <c:showCatName val="0"/>
          <c:showSerName val="0"/>
          <c:showPercent val="0"/>
          <c:showBubbleSize val="0"/>
        </c:dLbls>
        <c:marker val="1"/>
        <c:smooth val="0"/>
        <c:axId val="1357298960"/>
        <c:axId val="1357301360"/>
      </c:lineChart>
      <c:lineChart>
        <c:grouping val="standard"/>
        <c:varyColors val="0"/>
        <c:ser>
          <c:idx val="1"/>
          <c:order val="1"/>
          <c:tx>
            <c:v>Producción</c:v>
          </c:tx>
          <c:spPr>
            <a:ln w="28575" cap="rnd">
              <a:solidFill>
                <a:schemeClr val="accent2"/>
              </a:solidFill>
              <a:round/>
            </a:ln>
            <a:effectLst/>
          </c:spPr>
          <c:marker>
            <c:symbol val="none"/>
          </c:marker>
          <c:cat>
            <c:numRef>
              <c:f>Hoja1!$BR$6:$BR$17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Hoja1!$BQ$6:$BQ$17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B0F9-431A-8B16-BA4FA1AFA60F}"/>
            </c:ext>
          </c:extLst>
        </c:ser>
        <c:dLbls>
          <c:showLegendKey val="0"/>
          <c:showVal val="0"/>
          <c:showCatName val="0"/>
          <c:showSerName val="0"/>
          <c:showPercent val="0"/>
          <c:showBubbleSize val="0"/>
        </c:dLbls>
        <c:marker val="1"/>
        <c:smooth val="0"/>
        <c:axId val="1445786623"/>
        <c:axId val="1445798623"/>
      </c:lineChart>
      <c:dateAx>
        <c:axId val="135729896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357301360"/>
        <c:crosses val="autoZero"/>
        <c:auto val="1"/>
        <c:lblOffset val="100"/>
        <c:baseTimeUnit val="months"/>
      </c:dateAx>
      <c:valAx>
        <c:axId val="13573013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357298960"/>
        <c:crosses val="autoZero"/>
        <c:crossBetween val="between"/>
      </c:valAx>
      <c:valAx>
        <c:axId val="1445798623"/>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Unidades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445786623"/>
        <c:crosses val="max"/>
        <c:crossBetween val="between"/>
      </c:valAx>
      <c:dateAx>
        <c:axId val="1445786623"/>
        <c:scaling>
          <c:orientation val="minMax"/>
        </c:scaling>
        <c:delete val="1"/>
        <c:axPos val="b"/>
        <c:numFmt formatCode="mmm\-yy" sourceLinked="1"/>
        <c:majorTickMark val="out"/>
        <c:minorTickMark val="none"/>
        <c:tickLblPos val="nextTo"/>
        <c:crossAx val="1445798623"/>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s-PE" sz="1200" b="1"/>
              <a:t>DISTRIBUCIÓN CONSUMO </a:t>
            </a:r>
          </a:p>
          <a:p>
            <a:pPr>
              <a:defRPr sz="1200" b="1"/>
            </a:pPr>
            <a:r>
              <a:rPr lang="es-PE" sz="1200" b="1"/>
              <a:t>DE ENERGIA ELECTRICA</a:t>
            </a:r>
          </a:p>
        </c:rich>
      </c:tx>
      <c:layout>
        <c:manualLayout>
          <c:xMode val="edge"/>
          <c:yMode val="edge"/>
          <c:x val="7.4892924499692828E-2"/>
          <c:y val="8.9910061620250101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manualLayout>
          <c:layoutTarget val="inner"/>
          <c:xMode val="edge"/>
          <c:yMode val="edge"/>
          <c:x val="0.34161198142854193"/>
          <c:y val="0.11279087438832841"/>
          <c:w val="0.49580752150433571"/>
          <c:h val="0.806367945009968"/>
        </c:manualLayout>
      </c:layout>
      <c:pieChart>
        <c:varyColors val="1"/>
        <c:ser>
          <c:idx val="0"/>
          <c:order val="0"/>
          <c:explosion val="11"/>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B9C-4D39-B977-B97E36C6506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B9C-4D39-B977-B97E36C6506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B9C-4D39-B977-B97E36C6506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B9C-4D39-B977-B97E36C6506B}"/>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5B9C-4D39-B977-B97E36C6506B}"/>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5B9C-4D39-B977-B97E36C6506B}"/>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5B9C-4D39-B977-B97E36C6506B}"/>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5B9C-4D39-B977-B97E36C6506B}"/>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5B9C-4D39-B977-B97E36C6506B}"/>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5B9C-4D39-B977-B97E36C6506B}"/>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5B9C-4D39-B977-B97E36C6506B}"/>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5B9C-4D39-B977-B97E36C6506B}"/>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5B9C-4D39-B977-B97E36C6506B}"/>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5B9C-4D39-B977-B97E36C6506B}"/>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5B9C-4D39-B977-B97E36C6506B}"/>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5B9C-4D39-B977-B97E36C6506B}"/>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21-5B9C-4D39-B977-B97E36C6506B}"/>
              </c:ext>
            </c:extLst>
          </c:dPt>
          <c:dPt>
            <c:idx val="17"/>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23-5B9C-4D39-B977-B97E36C6506B}"/>
              </c:ext>
            </c:extLst>
          </c:dPt>
          <c:dPt>
            <c:idx val="18"/>
            <c:bubble3D val="0"/>
            <c:spPr>
              <a:solidFill>
                <a:schemeClr val="accent1">
                  <a:lumMod val="80000"/>
                </a:schemeClr>
              </a:solidFill>
              <a:ln w="19050">
                <a:solidFill>
                  <a:schemeClr val="lt1"/>
                </a:solidFill>
              </a:ln>
              <a:effectLst/>
            </c:spPr>
            <c:extLst>
              <c:ext xmlns:c16="http://schemas.microsoft.com/office/drawing/2014/chart" uri="{C3380CC4-5D6E-409C-BE32-E72D297353CC}">
                <c16:uniqueId val="{00000025-5B9C-4D39-B977-B97E36C6506B}"/>
              </c:ext>
            </c:extLst>
          </c:dPt>
          <c:dPt>
            <c:idx val="1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27-5B9C-4D39-B977-B97E36C6506B}"/>
              </c:ext>
            </c:extLst>
          </c:dPt>
          <c:dPt>
            <c:idx val="20"/>
            <c:bubble3D val="0"/>
            <c:spPr>
              <a:solidFill>
                <a:schemeClr val="accent3">
                  <a:lumMod val="80000"/>
                </a:schemeClr>
              </a:solidFill>
              <a:ln w="19050">
                <a:solidFill>
                  <a:schemeClr val="lt1"/>
                </a:solidFill>
              </a:ln>
              <a:effectLst/>
            </c:spPr>
            <c:extLst>
              <c:ext xmlns:c16="http://schemas.microsoft.com/office/drawing/2014/chart" uri="{C3380CC4-5D6E-409C-BE32-E72D297353CC}">
                <c16:uniqueId val="{00000029-5B9C-4D39-B977-B97E36C6506B}"/>
              </c:ext>
            </c:extLst>
          </c:dPt>
          <c:dPt>
            <c:idx val="21"/>
            <c:bubble3D val="0"/>
            <c:spPr>
              <a:solidFill>
                <a:schemeClr val="accent4">
                  <a:lumMod val="80000"/>
                </a:schemeClr>
              </a:solidFill>
              <a:ln w="19050">
                <a:solidFill>
                  <a:schemeClr val="lt1"/>
                </a:solidFill>
              </a:ln>
              <a:effectLst/>
            </c:spPr>
            <c:extLst>
              <c:ext xmlns:c16="http://schemas.microsoft.com/office/drawing/2014/chart" uri="{C3380CC4-5D6E-409C-BE32-E72D297353CC}">
                <c16:uniqueId val="{0000002B-5B9C-4D39-B977-B97E36C6506B}"/>
              </c:ext>
            </c:extLst>
          </c:dPt>
          <c:dPt>
            <c:idx val="22"/>
            <c:bubble3D val="0"/>
            <c:spPr>
              <a:solidFill>
                <a:schemeClr val="accent5">
                  <a:lumMod val="80000"/>
                </a:schemeClr>
              </a:solidFill>
              <a:ln w="19050">
                <a:solidFill>
                  <a:schemeClr val="lt1"/>
                </a:solidFill>
              </a:ln>
              <a:effectLst/>
            </c:spPr>
            <c:extLst>
              <c:ext xmlns:c16="http://schemas.microsoft.com/office/drawing/2014/chart" uri="{C3380CC4-5D6E-409C-BE32-E72D297353CC}">
                <c16:uniqueId val="{0000002D-5B9C-4D39-B977-B97E36C6506B}"/>
              </c:ext>
            </c:extLst>
          </c:dPt>
          <c:dPt>
            <c:idx val="23"/>
            <c:bubble3D val="0"/>
            <c:spPr>
              <a:solidFill>
                <a:schemeClr val="accent6">
                  <a:lumMod val="80000"/>
                </a:schemeClr>
              </a:solidFill>
              <a:ln w="19050">
                <a:solidFill>
                  <a:schemeClr val="lt1"/>
                </a:solidFill>
              </a:ln>
              <a:effectLst/>
            </c:spPr>
            <c:extLst>
              <c:ext xmlns:c16="http://schemas.microsoft.com/office/drawing/2014/chart" uri="{C3380CC4-5D6E-409C-BE32-E72D297353CC}">
                <c16:uniqueId val="{0000002F-5B9C-4D39-B977-B97E36C6506B}"/>
              </c:ext>
            </c:extLst>
          </c:dPt>
          <c:dPt>
            <c:idx val="24"/>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31-5B9C-4D39-B977-B97E36C6506B}"/>
              </c:ext>
            </c:extLst>
          </c:dPt>
          <c:dPt>
            <c:idx val="25"/>
            <c:bubble3D val="0"/>
            <c:spPr>
              <a:solidFill>
                <a:schemeClr val="accent2">
                  <a:lumMod val="60000"/>
                  <a:lumOff val="40000"/>
                </a:schemeClr>
              </a:solidFill>
              <a:ln w="19050">
                <a:solidFill>
                  <a:schemeClr val="lt1"/>
                </a:solidFill>
              </a:ln>
              <a:effectLst/>
            </c:spPr>
            <c:extLst>
              <c:ext xmlns:c16="http://schemas.microsoft.com/office/drawing/2014/chart" uri="{C3380CC4-5D6E-409C-BE32-E72D297353CC}">
                <c16:uniqueId val="{00000033-E859-4419-A92B-057CF58F3228}"/>
              </c:ext>
            </c:extLst>
          </c:dPt>
          <c:dLbls>
            <c:dLbl>
              <c:idx val="8"/>
              <c:layout>
                <c:manualLayout>
                  <c:x val="0.32133632385804889"/>
                  <c:y val="0.1197163896901867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5B9C-4D39-B977-B97E36C6506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P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Hoja1!$DB$28:$DB$53</c:f>
              <c:strCache>
                <c:ptCount val="26"/>
                <c:pt idx="0">
                  <c:v>Administración</c:v>
                </c:pt>
                <c:pt idx="1">
                  <c:v>Iluminación</c:v>
                </c:pt>
                <c:pt idx="2">
                  <c:v>#N/D</c:v>
                </c:pt>
                <c:pt idx="3">
                  <c:v>#N/D</c:v>
                </c:pt>
                <c:pt idx="4">
                  <c:v>#N/D</c:v>
                </c:pt>
                <c:pt idx="5">
                  <c:v>#N/D</c:v>
                </c:pt>
                <c:pt idx="6">
                  <c:v>#N/D</c:v>
                </c:pt>
                <c:pt idx="7">
                  <c:v>#N/D</c:v>
                </c:pt>
                <c:pt idx="8">
                  <c:v>#N/D</c:v>
                </c:pt>
                <c:pt idx="9">
                  <c:v>#N/D</c:v>
                </c:pt>
                <c:pt idx="10">
                  <c:v>#N/D</c:v>
                </c:pt>
                <c:pt idx="11">
                  <c:v>#N/D</c:v>
                </c:pt>
                <c:pt idx="12">
                  <c:v>#N/D</c:v>
                </c:pt>
                <c:pt idx="13">
                  <c:v>#N/D</c:v>
                </c:pt>
                <c:pt idx="14">
                  <c:v>#N/D</c:v>
                </c:pt>
                <c:pt idx="15">
                  <c:v>#N/D</c:v>
                </c:pt>
                <c:pt idx="16">
                  <c:v>#N/D</c:v>
                </c:pt>
                <c:pt idx="17">
                  <c:v>#N/D</c:v>
                </c:pt>
                <c:pt idx="18">
                  <c:v>#N/D</c:v>
                </c:pt>
                <c:pt idx="19">
                  <c:v>#N/D</c:v>
                </c:pt>
                <c:pt idx="20">
                  <c:v>#N/D</c:v>
                </c:pt>
                <c:pt idx="21">
                  <c:v>#N/D</c:v>
                </c:pt>
                <c:pt idx="23">
                  <c:v>#N/D</c:v>
                </c:pt>
                <c:pt idx="24">
                  <c:v>#N/D</c:v>
                </c:pt>
                <c:pt idx="25">
                  <c:v>#N/D</c:v>
                </c:pt>
              </c:strCache>
            </c:strRef>
          </c:cat>
          <c:val>
            <c:numRef>
              <c:f>Hoja1!$DC$28:$DC$53</c:f>
              <c:numCache>
                <c:formatCode>0%</c:formatCode>
                <c:ptCount val="2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3">
                  <c:v>#N/A</c:v>
                </c:pt>
                <c:pt idx="24">
                  <c:v>#N/A</c:v>
                </c:pt>
                <c:pt idx="25">
                  <c:v>#N/A</c:v>
                </c:pt>
              </c:numCache>
            </c:numRef>
          </c:val>
          <c:extLst>
            <c:ext xmlns:c16="http://schemas.microsoft.com/office/drawing/2014/chart" uri="{C3380CC4-5D6E-409C-BE32-E72D297353CC}">
              <c16:uniqueId val="{00000032-5B9C-4D39-B977-B97E36C6506B}"/>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a:sp3d>
  </c:spPr>
  <c:txPr>
    <a:bodyPr/>
    <a:lstStyle/>
    <a:p>
      <a:pPr>
        <a:defRPr/>
      </a:pPr>
      <a:endParaRPr lang="es-PE"/>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energia electrica x produccion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scatterChart>
        <c:scatterStyle val="lineMarker"/>
        <c:varyColors val="0"/>
        <c:ser>
          <c:idx val="0"/>
          <c:order val="0"/>
          <c:tx>
            <c:strRef>
              <c:f>Hoja1!$BF$36</c:f>
              <c:strCache>
                <c:ptCount val="1"/>
                <c:pt idx="0">
                  <c:v>produccion</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36121924850067316"/>
                  <c:y val="0.10490194030785939"/>
                </c:manualLayout>
              </c:layout>
              <c:numFmt formatCode="#,##0.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trendlineLbl>
          </c:trendline>
          <c:xVal>
            <c:numRef>
              <c:f>Hoja1!$BF$37:$BF$48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Hoja1!$BD$37:$BD$48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1-80B1-4D0C-8EB0-D8E8F390BCE9}"/>
            </c:ext>
          </c:extLst>
        </c:ser>
        <c:dLbls>
          <c:showLegendKey val="0"/>
          <c:showVal val="0"/>
          <c:showCatName val="0"/>
          <c:showSerName val="0"/>
          <c:showPercent val="0"/>
          <c:showBubbleSize val="0"/>
        </c:dLbls>
        <c:axId val="952908752"/>
        <c:axId val="952907312"/>
      </c:scatterChart>
      <c:valAx>
        <c:axId val="95290875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producción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2907312"/>
        <c:crosses val="autoZero"/>
        <c:crossBetween val="midCat"/>
      </c:valAx>
      <c:valAx>
        <c:axId val="95290731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energía eléctrica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2908752"/>
        <c:crosses val="autoZero"/>
        <c:crossBetween val="midCat"/>
      </c:valAx>
      <c:spPr>
        <a:noFill/>
        <a:ln>
          <a:noFill/>
        </a:ln>
        <a:effectLst/>
      </c:spPr>
    </c:plotArea>
    <c:legend>
      <c:legendPos val="r"/>
      <c:layout>
        <c:manualLayout>
          <c:xMode val="edge"/>
          <c:yMode val="edge"/>
          <c:x val="0.73587277685312913"/>
          <c:y val="0.49274030645240247"/>
          <c:w val="0.23339537866994137"/>
          <c:h val="0.1304748028310904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scatterChart>
        <c:scatterStyle val="lineMarker"/>
        <c:varyColors val="0"/>
        <c:ser>
          <c:idx val="0"/>
          <c:order val="0"/>
          <c:tx>
            <c:v>energia termica x produccion</c:v>
          </c:tx>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39196152328698752"/>
                  <c:y val="0.37326206236920306"/>
                </c:manualLayout>
              </c:layout>
              <c:numFmt formatCode="#,##0.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trendlineLbl>
          </c:trendline>
          <c:xVal>
            <c:numRef>
              <c:f>Hoja1!$BF$37:$BF$48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Hoja1!$BE$37:$BE$48</c:f>
              <c:numCache>
                <c:formatCode>_(* #,##0.00_);_(* \(#,##0.00\);_(*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1-2077-4F74-AFF8-3D1223908889}"/>
            </c:ext>
          </c:extLst>
        </c:ser>
        <c:dLbls>
          <c:showLegendKey val="0"/>
          <c:showVal val="0"/>
          <c:showCatName val="0"/>
          <c:showSerName val="0"/>
          <c:showPercent val="0"/>
          <c:showBubbleSize val="0"/>
        </c:dLbls>
        <c:axId val="1001887968"/>
        <c:axId val="1001889888"/>
      </c:scatterChart>
      <c:valAx>
        <c:axId val="10018879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producción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001889888"/>
        <c:crosses val="autoZero"/>
        <c:crossBetween val="midCat"/>
      </c:valAx>
      <c:valAx>
        <c:axId val="100188988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energía térmica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 #,##0.00_);_(* \(#,##0.00\);_(* &quot;-&quot;??_);_(@_)"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001887968"/>
        <c:crosses val="autoZero"/>
        <c:crossBetween val="midCat"/>
      </c:valAx>
      <c:spPr>
        <a:noFill/>
        <a:ln>
          <a:noFill/>
        </a:ln>
        <a:effectLst/>
      </c:spPr>
    </c:plotArea>
    <c:legend>
      <c:legendPos val="r"/>
      <c:layout>
        <c:manualLayout>
          <c:xMode val="edge"/>
          <c:yMode val="edge"/>
          <c:x val="0.63876787175131955"/>
          <c:y val="0.14343673776479773"/>
          <c:w val="0.34170292055017448"/>
          <c:h val="0.2419059883716440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PE"/>
              <a:t>Colaboradores</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PE"/>
        </a:p>
      </c:txPr>
    </c:title>
    <c:autoTitleDeleted val="0"/>
    <c:plotArea>
      <c:layout/>
      <c:pieChart>
        <c:varyColors val="1"/>
        <c:ser>
          <c:idx val="0"/>
          <c:order val="0"/>
          <c:spPr>
            <a:scene3d>
              <a:camera prst="orthographicFront"/>
              <a:lightRig rig="threePt" dir="t"/>
            </a:scene3d>
            <a:sp3d prstMaterial="matte">
              <a:bevelT w="63500" h="63500" prst="artDeco"/>
              <a:contourClr>
                <a:srgbClr val="000000"/>
              </a:contourClr>
            </a:sp3d>
          </c:spPr>
          <c:dPt>
            <c:idx val="0"/>
            <c:bubble3D val="0"/>
            <c:spPr>
              <a:solidFill>
                <a:schemeClr val="accent1"/>
              </a:solidFill>
              <a:ln>
                <a:noFill/>
              </a:ln>
              <a:effectLst>
                <a:outerShdw blurRad="63500" sx="102000" sy="102000" algn="ctr" rotWithShape="0">
                  <a:prstClr val="black">
                    <a:alpha val="20000"/>
                  </a:prstClr>
                </a:outerShdw>
              </a:effectLst>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2-46E9-437C-A87E-E448BF62EF7B}"/>
              </c:ext>
            </c:extLst>
          </c:dPt>
          <c:dPt>
            <c:idx val="1"/>
            <c:bubble3D val="0"/>
            <c:spPr>
              <a:solidFill>
                <a:schemeClr val="accent2"/>
              </a:solidFill>
              <a:ln>
                <a:noFill/>
              </a:ln>
              <a:effectLst>
                <a:outerShdw blurRad="63500" sx="102000" sy="102000" algn="ctr" rotWithShape="0">
                  <a:prstClr val="black">
                    <a:alpha val="20000"/>
                  </a:prstClr>
                </a:outerShdw>
              </a:effectLst>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3-46E9-437C-A87E-E448BF62EF7B}"/>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2-46E9-437C-A87E-E448BF62EF7B}"/>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3-46E9-437C-A87E-E448BF62EF7B}"/>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Hoja2!$C$16:$D$16</c:f>
              <c:strCache>
                <c:ptCount val="2"/>
                <c:pt idx="0">
                  <c:v>Hombres</c:v>
                </c:pt>
                <c:pt idx="1">
                  <c:v>Mujeres</c:v>
                </c:pt>
              </c:strCache>
            </c:strRef>
          </c:cat>
          <c:val>
            <c:numRef>
              <c:f>Hoja2!$C$17:$D$17</c:f>
              <c:numCache>
                <c:formatCode>General</c:formatCode>
                <c:ptCount val="2"/>
                <c:pt idx="0">
                  <c:v>0</c:v>
                </c:pt>
                <c:pt idx="1">
                  <c:v>0</c:v>
                </c:pt>
              </c:numCache>
            </c:numRef>
          </c:val>
          <c:extLst>
            <c:ext xmlns:c16="http://schemas.microsoft.com/office/drawing/2014/chart" uri="{C3380CC4-5D6E-409C-BE32-E72D297353CC}">
              <c16:uniqueId val="{00000000-46E9-437C-A87E-E448BF62EF7B}"/>
            </c:ext>
          </c:extLst>
        </c:ser>
        <c:ser>
          <c:idx val="1"/>
          <c:order val="1"/>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4-46E9-437C-A87E-E448BF62EF7B}"/>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46E9-437C-A87E-E448BF62EF7B}"/>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6-46E9-437C-A87E-E448BF62EF7B}"/>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4-46E9-437C-A87E-E448BF62EF7B}"/>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5-46E9-437C-A87E-E448BF62EF7B}"/>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6-46E9-437C-A87E-E448BF62EF7B}"/>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Hoja2!$C$16:$D$16</c:f>
              <c:strCache>
                <c:ptCount val="2"/>
                <c:pt idx="0">
                  <c:v>Hombres</c:v>
                </c:pt>
                <c:pt idx="1">
                  <c:v>Mujeres</c:v>
                </c:pt>
              </c:strCache>
            </c:strRef>
          </c:cat>
          <c:val>
            <c:numRef>
              <c:f>Hoja2!$B$18:$D$18</c:f>
              <c:numCache>
                <c:formatCode>0%</c:formatCode>
                <c:ptCount val="3"/>
                <c:pt idx="0">
                  <c:v>0</c:v>
                </c:pt>
                <c:pt idx="1">
                  <c:v>0</c:v>
                </c:pt>
                <c:pt idx="2">
                  <c:v>0</c:v>
                </c:pt>
              </c:numCache>
            </c:numRef>
          </c:val>
          <c:extLst>
            <c:ext xmlns:c16="http://schemas.microsoft.com/office/drawing/2014/chart" uri="{C3380CC4-5D6E-409C-BE32-E72D297353CC}">
              <c16:uniqueId val="{00000001-46E9-437C-A87E-E448BF62EF7B}"/>
            </c:ext>
          </c:extLst>
        </c:ser>
        <c:dLbls>
          <c:dLblPos val="outEnd"/>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PE"/>
              <a:t>INVERSION ENERGIA TOTAL</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PE"/>
        </a:p>
      </c:tx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6E65-42D0-AC86-AAAF70CA8752}"/>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2-6E65-42D0-AC86-AAAF70CA8752}"/>
              </c:ext>
            </c:extLst>
          </c:dPt>
          <c:dLbls>
            <c:dLbl>
              <c:idx val="0"/>
              <c:layout>
                <c:manualLayout>
                  <c:x val="0.26944444444444443"/>
                  <c:y val="-0.25925925925925924"/>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PE"/>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E65-42D0-AC86-AAAF70CA8752}"/>
                </c:ext>
              </c:extLst>
            </c:dLbl>
            <c:dLbl>
              <c:idx val="1"/>
              <c:layout>
                <c:manualLayout>
                  <c:x val="-0.18611111111111112"/>
                  <c:y val="0.1435185185185185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PE"/>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6E65-42D0-AC86-AAAF70CA8752}"/>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Hoja2!$K$10:$K$11</c:f>
              <c:strCache>
                <c:ptCount val="2"/>
                <c:pt idx="0">
                  <c:v>Sol facturado</c:v>
                </c:pt>
                <c:pt idx="1">
                  <c:v>Sol en energía</c:v>
                </c:pt>
              </c:strCache>
            </c:strRef>
          </c:cat>
          <c:val>
            <c:numRef>
              <c:f>Hoja2!$L$10:$L$11</c:f>
              <c:numCache>
                <c:formatCode>0%</c:formatCode>
                <c:ptCount val="2"/>
                <c:pt idx="0">
                  <c:v>1</c:v>
                </c:pt>
                <c:pt idx="1">
                  <c:v>0</c:v>
                </c:pt>
              </c:numCache>
            </c:numRef>
          </c:val>
          <c:extLst>
            <c:ext xmlns:c16="http://schemas.microsoft.com/office/drawing/2014/chart" uri="{C3380CC4-5D6E-409C-BE32-E72D297353CC}">
              <c16:uniqueId val="{00000000-6E65-42D0-AC86-AAAF70CA8752}"/>
            </c:ext>
          </c:extLst>
        </c:ser>
        <c:dLbls>
          <c:dLblPos val="outEnd"/>
          <c:showLegendKey val="0"/>
          <c:showVal val="0"/>
          <c:showCatName val="0"/>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Energía Eléctrica: Costo</a:t>
            </a:r>
            <a:r>
              <a:rPr lang="es-PE" baseline="0"/>
              <a:t> vs Consumo</a:t>
            </a:r>
            <a:endParaRPr lang="es-P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c:v>
          </c:tx>
          <c:spPr>
            <a:ln w="28575" cap="rnd">
              <a:solidFill>
                <a:schemeClr val="accent1"/>
              </a:solidFill>
              <a:round/>
            </a:ln>
            <a:effectLst/>
          </c:spPr>
          <c:marker>
            <c:symbol val="none"/>
          </c:marker>
          <c:cat>
            <c:numRef>
              <c:f>Hoja1!$AO$6:$AO$17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Hoja1!$AR$6:$AR$17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E3CD-4634-9725-4E0A3ABD1463}"/>
            </c:ext>
          </c:extLst>
        </c:ser>
        <c:dLbls>
          <c:showLegendKey val="0"/>
          <c:showVal val="0"/>
          <c:showCatName val="0"/>
          <c:showSerName val="0"/>
          <c:showPercent val="0"/>
          <c:showBubbleSize val="0"/>
        </c:dLbls>
        <c:marker val="1"/>
        <c:smooth val="0"/>
        <c:axId val="554027344"/>
        <c:axId val="554028304"/>
      </c:lineChart>
      <c:lineChart>
        <c:grouping val="standard"/>
        <c:varyColors val="0"/>
        <c:ser>
          <c:idx val="1"/>
          <c:order val="1"/>
          <c:tx>
            <c:v>Consumo energía</c:v>
          </c:tx>
          <c:spPr>
            <a:ln w="28575" cap="rnd">
              <a:solidFill>
                <a:schemeClr val="accent2"/>
              </a:solidFill>
              <a:round/>
            </a:ln>
            <a:effectLst/>
          </c:spPr>
          <c:marker>
            <c:symbol val="none"/>
          </c:marker>
          <c:cat>
            <c:numRef>
              <c:f>Hoja1!$AO$6:$AO$17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Hoja1!$AS$6:$AS$17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1-E3CD-4634-9725-4E0A3ABD1463}"/>
            </c:ext>
          </c:extLst>
        </c:ser>
        <c:dLbls>
          <c:showLegendKey val="0"/>
          <c:showVal val="0"/>
          <c:showCatName val="0"/>
          <c:showSerName val="0"/>
          <c:showPercent val="0"/>
          <c:showBubbleSize val="0"/>
        </c:dLbls>
        <c:marker val="1"/>
        <c:smooth val="0"/>
        <c:axId val="440559360"/>
        <c:axId val="440564640"/>
      </c:lineChart>
      <c:dateAx>
        <c:axId val="55402734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layout>
            <c:manualLayout>
              <c:xMode val="edge"/>
              <c:yMode val="edge"/>
              <c:x val="0.43938955562951643"/>
              <c:y val="0.801265077624516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54028304"/>
        <c:crosses val="autoZero"/>
        <c:auto val="1"/>
        <c:lblOffset val="100"/>
        <c:baseTimeUnit val="months"/>
      </c:dateAx>
      <c:valAx>
        <c:axId val="5540283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54027344"/>
        <c:crosses val="autoZero"/>
        <c:crossBetween val="between"/>
      </c:valAx>
      <c:valAx>
        <c:axId val="44056464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kWh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440559360"/>
        <c:crosses val="max"/>
        <c:crossBetween val="between"/>
      </c:valAx>
      <c:dateAx>
        <c:axId val="440559360"/>
        <c:scaling>
          <c:orientation val="minMax"/>
        </c:scaling>
        <c:delete val="1"/>
        <c:axPos val="b"/>
        <c:numFmt formatCode="mmm\-yy" sourceLinked="1"/>
        <c:majorTickMark val="out"/>
        <c:minorTickMark val="none"/>
        <c:tickLblPos val="nextTo"/>
        <c:crossAx val="440564640"/>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Precio del kWh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precio de la energía</c:v>
          </c:tx>
          <c:spPr>
            <a:ln w="28575" cap="rnd">
              <a:solidFill>
                <a:schemeClr val="accent1"/>
              </a:solidFill>
              <a:round/>
            </a:ln>
            <a:effectLst/>
          </c:spPr>
          <c:marker>
            <c:symbol val="none"/>
          </c:marker>
          <c:cat>
            <c:numRef>
              <c:f>Hoja1!$AO$6:$AO$17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Hoja1!$AT$6:$AT$17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F119-4BFC-AB87-3CAB7CDD08AF}"/>
            </c:ext>
          </c:extLst>
        </c:ser>
        <c:dLbls>
          <c:showLegendKey val="0"/>
          <c:showVal val="0"/>
          <c:showCatName val="0"/>
          <c:showSerName val="0"/>
          <c:showPercent val="0"/>
          <c:showBubbleSize val="0"/>
        </c:dLbls>
        <c:smooth val="0"/>
        <c:axId val="392568992"/>
        <c:axId val="392569472"/>
      </c:lineChart>
      <c:dateAx>
        <c:axId val="392568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392569472"/>
        <c:crosses val="autoZero"/>
        <c:auto val="1"/>
        <c:lblOffset val="100"/>
        <c:baseTimeUnit val="months"/>
      </c:dateAx>
      <c:valAx>
        <c:axId val="3925694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3925689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Costo de GLP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de GLP</c:v>
          </c:tx>
          <c:spPr>
            <a:ln w="28575" cap="rnd">
              <a:solidFill>
                <a:schemeClr val="accent1"/>
              </a:solidFill>
              <a:round/>
            </a:ln>
            <a:effectLst/>
          </c:spPr>
          <c:marker>
            <c:symbol val="none"/>
          </c:marker>
          <c:cat>
            <c:numRef>
              <c:f>Hoja1!$AU$6:$AU$17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Hoja1!$AY$6:$AY$17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D7C2-447F-AFA9-0A8B048FEB1E}"/>
            </c:ext>
          </c:extLst>
        </c:ser>
        <c:dLbls>
          <c:showLegendKey val="0"/>
          <c:showVal val="0"/>
          <c:showCatName val="0"/>
          <c:showSerName val="0"/>
          <c:showPercent val="0"/>
          <c:showBubbleSize val="0"/>
        </c:dLbls>
        <c:smooth val="0"/>
        <c:axId val="563746864"/>
        <c:axId val="563747344"/>
      </c:lineChart>
      <c:dateAx>
        <c:axId val="56374686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63747344"/>
        <c:crosses val="autoZero"/>
        <c:auto val="1"/>
        <c:lblOffset val="100"/>
        <c:baseTimeUnit val="months"/>
      </c:dateAx>
      <c:valAx>
        <c:axId val="5637473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637468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baseline="0">
                <a:solidFill>
                  <a:schemeClr val="tx1">
                    <a:lumMod val="65000"/>
                    <a:lumOff val="35000"/>
                  </a:schemeClr>
                </a:solidFill>
                <a:latin typeface="+mn-lt"/>
                <a:ea typeface="+mn-ea"/>
                <a:cs typeface="+mn-cs"/>
              </a:defRPr>
            </a:pPr>
            <a:r>
              <a:rPr lang="es-PE" sz="1200"/>
              <a:t>INVERSION ENERGIA TOTAL</a:t>
            </a:r>
          </a:p>
        </c:rich>
      </c:tx>
      <c:overlay val="0"/>
      <c:spPr>
        <a:noFill/>
        <a:ln>
          <a:noFill/>
        </a:ln>
        <a:effectLst/>
      </c:spPr>
      <c:txPr>
        <a:bodyPr rot="0" spcFirstLastPara="1" vertOverflow="ellipsis" vert="horz" wrap="square" anchor="ctr" anchorCtr="1"/>
        <a:lstStyle/>
        <a:p>
          <a:pPr>
            <a:defRPr sz="1200" b="1" i="0" u="none" strike="noStrike" kern="1200" cap="all" baseline="0">
              <a:solidFill>
                <a:schemeClr val="tx1">
                  <a:lumMod val="65000"/>
                  <a:lumOff val="35000"/>
                </a:schemeClr>
              </a:solidFill>
              <a:latin typeface="+mn-lt"/>
              <a:ea typeface="+mn-ea"/>
              <a:cs typeface="+mn-cs"/>
            </a:defRPr>
          </a:pPr>
          <a:endParaRPr lang="es-PE"/>
        </a:p>
      </c:tx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C287-4222-B248-E2D2289F386C}"/>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C287-4222-B248-E2D2289F386C}"/>
              </c:ext>
            </c:extLst>
          </c:dPt>
          <c:dLbls>
            <c:dLbl>
              <c:idx val="0"/>
              <c:layout>
                <c:manualLayout>
                  <c:x val="0.33556015454070925"/>
                  <c:y val="-0.25409794093047866"/>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PE"/>
                </a:p>
              </c:txPr>
              <c:dLblPos val="bestFit"/>
              <c:showLegendKey val="0"/>
              <c:showVal val="0"/>
              <c:showCatName val="1"/>
              <c:showSerName val="0"/>
              <c:showPercent val="1"/>
              <c:showBubbleSize val="0"/>
              <c:extLst>
                <c:ext xmlns:c15="http://schemas.microsoft.com/office/drawing/2012/chart" uri="{CE6537A1-D6FC-4f65-9D91-7224C49458BB}">
                  <c15:layout>
                    <c:manualLayout>
                      <c:w val="0.23510747881520636"/>
                      <c:h val="0.25290312302641688"/>
                    </c:manualLayout>
                  </c15:layout>
                </c:ext>
                <c:ext xmlns:c16="http://schemas.microsoft.com/office/drawing/2014/chart" uri="{C3380CC4-5D6E-409C-BE32-E72D297353CC}">
                  <c16:uniqueId val="{00000001-C287-4222-B248-E2D2289F386C}"/>
                </c:ext>
              </c:extLst>
            </c:dLbl>
            <c:dLbl>
              <c:idx val="1"/>
              <c:layout>
                <c:manualLayout>
                  <c:x val="-0.18611111111111112"/>
                  <c:y val="0.1435185185185185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PE"/>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287-4222-B248-E2D2289F386C}"/>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Hoja2!$K$10:$K$11</c:f>
              <c:strCache>
                <c:ptCount val="2"/>
                <c:pt idx="0">
                  <c:v>Sol facturado</c:v>
                </c:pt>
                <c:pt idx="1">
                  <c:v>Sol en energía</c:v>
                </c:pt>
              </c:strCache>
            </c:strRef>
          </c:cat>
          <c:val>
            <c:numRef>
              <c:f>Hoja2!$L$10:$L$11</c:f>
              <c:numCache>
                <c:formatCode>0%</c:formatCode>
                <c:ptCount val="2"/>
                <c:pt idx="0">
                  <c:v>1</c:v>
                </c:pt>
                <c:pt idx="1">
                  <c:v>0</c:v>
                </c:pt>
              </c:numCache>
            </c:numRef>
          </c:val>
          <c:extLst>
            <c:ext xmlns:c16="http://schemas.microsoft.com/office/drawing/2014/chart" uri="{C3380CC4-5D6E-409C-BE32-E72D297353CC}">
              <c16:uniqueId val="{00000004-C287-4222-B248-E2D2289F386C}"/>
            </c:ext>
          </c:extLst>
        </c:ser>
        <c:dLbls>
          <c:dLblPos val="outEnd"/>
          <c:showLegendKey val="0"/>
          <c:showVal val="0"/>
          <c:showCatName val="0"/>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Costo de GN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de GN</c:v>
          </c:tx>
          <c:spPr>
            <a:ln w="28575" cap="rnd">
              <a:solidFill>
                <a:schemeClr val="accent1"/>
              </a:solidFill>
              <a:round/>
            </a:ln>
            <a:effectLst/>
          </c:spPr>
          <c:marker>
            <c:symbol val="none"/>
          </c:marker>
          <c:cat>
            <c:numRef>
              <c:f>Hoja1!$BC$6:$BC$17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Hoja1!$BF$6:$BF$17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D640-4476-8E0D-13D40028310D}"/>
            </c:ext>
          </c:extLst>
        </c:ser>
        <c:dLbls>
          <c:showLegendKey val="0"/>
          <c:showVal val="0"/>
          <c:showCatName val="0"/>
          <c:showSerName val="0"/>
          <c:showPercent val="0"/>
          <c:showBubbleSize val="0"/>
        </c:dLbls>
        <c:smooth val="0"/>
        <c:axId val="951334832"/>
        <c:axId val="951337712"/>
      </c:lineChart>
      <c:dateAx>
        <c:axId val="95133483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layout>
            <c:manualLayout>
              <c:xMode val="edge"/>
              <c:yMode val="edge"/>
              <c:x val="0.5162248368885034"/>
              <c:y val="0.78256324731491633"/>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1337712"/>
        <c:crosses val="autoZero"/>
        <c:auto val="1"/>
        <c:lblOffset val="100"/>
        <c:baseTimeUnit val="months"/>
      </c:dateAx>
      <c:valAx>
        <c:axId val="9513377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1334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Costo de Diesel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de Diesel</c:v>
          </c:tx>
          <c:spPr>
            <a:ln w="28575" cap="rnd">
              <a:solidFill>
                <a:schemeClr val="accent1"/>
              </a:solidFill>
              <a:round/>
            </a:ln>
            <a:effectLst/>
          </c:spPr>
          <c:marker>
            <c:symbol val="none"/>
          </c:marker>
          <c:cat>
            <c:numRef>
              <c:f>Hoja1!$BH$6:$BH$17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Hoja1!$BK$6:$BK$17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BDF7-4211-A534-FF8E87E2FB8F}"/>
            </c:ext>
          </c:extLst>
        </c:ser>
        <c:dLbls>
          <c:showLegendKey val="0"/>
          <c:showVal val="0"/>
          <c:showCatName val="0"/>
          <c:showSerName val="0"/>
          <c:showPercent val="0"/>
          <c:showBubbleSize val="0"/>
        </c:dLbls>
        <c:smooth val="0"/>
        <c:axId val="951334832"/>
        <c:axId val="951337712"/>
      </c:lineChart>
      <c:dateAx>
        <c:axId val="95133483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1337712"/>
        <c:crosses val="autoZero"/>
        <c:auto val="1"/>
        <c:lblOffset val="100"/>
        <c:baseTimeUnit val="months"/>
      </c:dateAx>
      <c:valAx>
        <c:axId val="9513377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1334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sz="1400" b="0" i="0" u="none" strike="noStrike" kern="1200" spc="0" baseline="0">
                <a:solidFill>
                  <a:srgbClr val="000000">
                    <a:lumMod val="65000"/>
                    <a:lumOff val="35000"/>
                  </a:srgbClr>
                </a:solidFill>
              </a:rPr>
              <a:t>Costo en Energía S/. </a:t>
            </a:r>
            <a:r>
              <a:rPr lang="es-PE" baseline="0"/>
              <a:t>(electricidad+combustibles)</a:t>
            </a:r>
            <a:endParaRPr lang="es-P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en energía</c:v>
          </c:tx>
          <c:spPr>
            <a:ln w="28575" cap="rnd">
              <a:solidFill>
                <a:schemeClr val="accent1"/>
              </a:solidFill>
              <a:round/>
            </a:ln>
            <a:effectLst/>
          </c:spPr>
          <c:marker>
            <c:symbol val="none"/>
          </c:marker>
          <c:cat>
            <c:numRef>
              <c:f>Hoja1!$BR$6:$BR$17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Hoja1!$BU$6:$BU$17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A2D8-4CB4-8157-10C966CF4EBF}"/>
            </c:ext>
          </c:extLst>
        </c:ser>
        <c:dLbls>
          <c:showLegendKey val="0"/>
          <c:showVal val="0"/>
          <c:showCatName val="0"/>
          <c:showSerName val="0"/>
          <c:showPercent val="0"/>
          <c:showBubbleSize val="0"/>
        </c:dLbls>
        <c:marker val="1"/>
        <c:smooth val="0"/>
        <c:axId val="1357298960"/>
        <c:axId val="1357301360"/>
      </c:lineChart>
      <c:lineChart>
        <c:grouping val="standard"/>
        <c:varyColors val="0"/>
        <c:ser>
          <c:idx val="1"/>
          <c:order val="1"/>
          <c:tx>
            <c:v>Producción</c:v>
          </c:tx>
          <c:spPr>
            <a:ln w="28575" cap="rnd">
              <a:solidFill>
                <a:schemeClr val="accent2"/>
              </a:solidFill>
              <a:round/>
            </a:ln>
            <a:effectLst/>
          </c:spPr>
          <c:marker>
            <c:symbol val="none"/>
          </c:marker>
          <c:cat>
            <c:numRef>
              <c:f>Hoja1!$BR$6:$BR$17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Hoja1!$BQ$6:$BQ$17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4CA6-43BE-865B-C9C3C2C1F38D}"/>
            </c:ext>
          </c:extLst>
        </c:ser>
        <c:dLbls>
          <c:showLegendKey val="0"/>
          <c:showVal val="0"/>
          <c:showCatName val="0"/>
          <c:showSerName val="0"/>
          <c:showPercent val="0"/>
          <c:showBubbleSize val="0"/>
        </c:dLbls>
        <c:marker val="1"/>
        <c:smooth val="0"/>
        <c:axId val="1445786623"/>
        <c:axId val="1445798623"/>
      </c:lineChart>
      <c:dateAx>
        <c:axId val="135729896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357301360"/>
        <c:crosses val="autoZero"/>
        <c:auto val="1"/>
        <c:lblOffset val="100"/>
        <c:baseTimeUnit val="months"/>
      </c:dateAx>
      <c:valAx>
        <c:axId val="13573013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357298960"/>
        <c:crosses val="autoZero"/>
        <c:crossBetween val="between"/>
      </c:valAx>
      <c:valAx>
        <c:axId val="1445798623"/>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Unidades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445786623"/>
        <c:crosses val="max"/>
        <c:crossBetween val="between"/>
      </c:valAx>
      <c:dateAx>
        <c:axId val="1445786623"/>
        <c:scaling>
          <c:orientation val="minMax"/>
        </c:scaling>
        <c:delete val="1"/>
        <c:axPos val="b"/>
        <c:numFmt formatCode="mmm\-yy" sourceLinked="1"/>
        <c:majorTickMark val="out"/>
        <c:minorTickMark val="none"/>
        <c:tickLblPos val="nextTo"/>
        <c:crossAx val="1445798623"/>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sz="1400" b="0" i="0" u="none" strike="noStrike" kern="1200" spc="0" baseline="0">
                <a:solidFill>
                  <a:srgbClr val="000000">
                    <a:lumMod val="65000"/>
                    <a:lumOff val="35000"/>
                  </a:srgbClr>
                </a:solidFill>
              </a:rPr>
              <a:t>Costo en Energía S/. (electricidad+combustibles)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barChart>
        <c:barDir val="col"/>
        <c:grouping val="clustered"/>
        <c:varyColors val="0"/>
        <c:ser>
          <c:idx val="0"/>
          <c:order val="0"/>
          <c:spPr>
            <a:solidFill>
              <a:schemeClr val="accent1"/>
            </a:solidFill>
            <a:ln>
              <a:noFill/>
            </a:ln>
            <a:effectLst/>
          </c:spPr>
          <c:invertIfNegative val="0"/>
          <c:cat>
            <c:numRef>
              <c:f>Hoja1!$BR$6:$BR$17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Hoja1!$BS$6:$BS$17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89DB-41CF-BE43-C53C68E19E0B}"/>
            </c:ext>
          </c:extLst>
        </c:ser>
        <c:dLbls>
          <c:showLegendKey val="0"/>
          <c:showVal val="0"/>
          <c:showCatName val="0"/>
          <c:showSerName val="0"/>
          <c:showPercent val="0"/>
          <c:showBubbleSize val="0"/>
        </c:dLbls>
        <c:gapWidth val="150"/>
        <c:axId val="1012708656"/>
        <c:axId val="1012710576"/>
      </c:barChart>
      <c:lineChart>
        <c:grouping val="standard"/>
        <c:varyColors val="0"/>
        <c:ser>
          <c:idx val="2"/>
          <c:order val="1"/>
          <c:tx>
            <c:strRef>
              <c:f>Hoja1!$BU$4</c:f>
              <c:strCache>
                <c:ptCount val="1"/>
                <c:pt idx="0">
                  <c:v>S/.</c:v>
                </c:pt>
              </c:strCache>
            </c:strRef>
          </c:tx>
          <c:spPr>
            <a:ln w="28575" cap="rnd">
              <a:solidFill>
                <a:schemeClr val="accent1">
                  <a:lumMod val="75000"/>
                </a:schemeClr>
              </a:solidFill>
              <a:round/>
            </a:ln>
            <a:effectLst/>
          </c:spPr>
          <c:marker>
            <c:symbol val="none"/>
          </c:marker>
          <c:cat>
            <c:numRef>
              <c:f>Hoja1!$BR$6:$BR$17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Hoja1!$BU$6:$BU$17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2-89DB-41CF-BE43-C53C68E19E0B}"/>
            </c:ext>
          </c:extLst>
        </c:ser>
        <c:dLbls>
          <c:showLegendKey val="0"/>
          <c:showVal val="0"/>
          <c:showCatName val="0"/>
          <c:showSerName val="0"/>
          <c:showPercent val="0"/>
          <c:showBubbleSize val="0"/>
        </c:dLbls>
        <c:marker val="1"/>
        <c:smooth val="0"/>
        <c:axId val="1012708656"/>
        <c:axId val="1012710576"/>
      </c:lineChart>
      <c:dateAx>
        <c:axId val="101270865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600" b="0" i="0" u="none" strike="noStrike" kern="1200" baseline="0">
                <a:solidFill>
                  <a:schemeClr val="tx1">
                    <a:lumMod val="65000"/>
                    <a:lumOff val="35000"/>
                  </a:schemeClr>
                </a:solidFill>
                <a:latin typeface="+mn-lt"/>
                <a:ea typeface="+mn-ea"/>
                <a:cs typeface="+mn-cs"/>
              </a:defRPr>
            </a:pPr>
            <a:endParaRPr lang="es-PE"/>
          </a:p>
        </c:txPr>
        <c:crossAx val="1012710576"/>
        <c:crosses val="autoZero"/>
        <c:auto val="1"/>
        <c:lblOffset val="100"/>
        <c:baseTimeUnit val="months"/>
      </c:dateAx>
      <c:valAx>
        <c:axId val="10127105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012708656"/>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s-PE" sz="1200" b="1"/>
              <a:t>DISTRIBUCIÓN CONSUMO </a:t>
            </a:r>
          </a:p>
          <a:p>
            <a:pPr>
              <a:defRPr sz="1200" b="1"/>
            </a:pPr>
            <a:r>
              <a:rPr lang="es-PE" sz="1200" b="1"/>
              <a:t>DE ENERGIA ELECTRICA</a:t>
            </a:r>
          </a:p>
        </c:rich>
      </c:tx>
      <c:layout>
        <c:manualLayout>
          <c:xMode val="edge"/>
          <c:yMode val="edge"/>
          <c:x val="7.4892924499692828E-2"/>
          <c:y val="8.9910061620250101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manualLayout>
          <c:layoutTarget val="inner"/>
          <c:xMode val="edge"/>
          <c:yMode val="edge"/>
          <c:x val="0.34161198142854193"/>
          <c:y val="0.11279087438832841"/>
          <c:w val="0.49580752150433571"/>
          <c:h val="0.806367945009968"/>
        </c:manualLayout>
      </c:layout>
      <c:pieChart>
        <c:varyColors val="1"/>
        <c:ser>
          <c:idx val="0"/>
          <c:order val="0"/>
          <c:explosion val="11"/>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263-4B10-B072-10EAA0898EA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263-4B10-B072-10EAA0898EA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263-4B10-B072-10EAA0898EA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8263-4B10-B072-10EAA0898EA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8263-4B10-B072-10EAA0898EA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8263-4B10-B072-10EAA0898EA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1-3A59-4133-9DA5-865845B5A681}"/>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D830-49B7-A641-E38629905657}"/>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D830-49B7-A641-E38629905657}"/>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D830-49B7-A641-E38629905657}"/>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D830-49B7-A641-E38629905657}"/>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D830-49B7-A641-E38629905657}"/>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D830-49B7-A641-E38629905657}"/>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D830-49B7-A641-E38629905657}"/>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D830-49B7-A641-E38629905657}"/>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D830-49B7-A641-E38629905657}"/>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21-D830-49B7-A641-E38629905657}"/>
              </c:ext>
            </c:extLst>
          </c:dPt>
          <c:dPt>
            <c:idx val="17"/>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23-D830-49B7-A641-E38629905657}"/>
              </c:ext>
            </c:extLst>
          </c:dPt>
          <c:dPt>
            <c:idx val="18"/>
            <c:bubble3D val="0"/>
            <c:spPr>
              <a:solidFill>
                <a:schemeClr val="accent1">
                  <a:lumMod val="80000"/>
                </a:schemeClr>
              </a:solidFill>
              <a:ln w="19050">
                <a:solidFill>
                  <a:schemeClr val="lt1"/>
                </a:solidFill>
              </a:ln>
              <a:effectLst/>
            </c:spPr>
            <c:extLst>
              <c:ext xmlns:c16="http://schemas.microsoft.com/office/drawing/2014/chart" uri="{C3380CC4-5D6E-409C-BE32-E72D297353CC}">
                <c16:uniqueId val="{00000025-D830-49B7-A641-E38629905657}"/>
              </c:ext>
            </c:extLst>
          </c:dPt>
          <c:dPt>
            <c:idx val="1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27-D830-49B7-A641-E38629905657}"/>
              </c:ext>
            </c:extLst>
          </c:dPt>
          <c:dPt>
            <c:idx val="20"/>
            <c:bubble3D val="0"/>
            <c:spPr>
              <a:solidFill>
                <a:schemeClr val="accent3">
                  <a:lumMod val="80000"/>
                </a:schemeClr>
              </a:solidFill>
              <a:ln w="19050">
                <a:solidFill>
                  <a:schemeClr val="lt1"/>
                </a:solidFill>
              </a:ln>
              <a:effectLst/>
            </c:spPr>
            <c:extLst>
              <c:ext xmlns:c16="http://schemas.microsoft.com/office/drawing/2014/chart" uri="{C3380CC4-5D6E-409C-BE32-E72D297353CC}">
                <c16:uniqueId val="{00000029-D830-49B7-A641-E38629905657}"/>
              </c:ext>
            </c:extLst>
          </c:dPt>
          <c:dPt>
            <c:idx val="21"/>
            <c:bubble3D val="0"/>
            <c:spPr>
              <a:solidFill>
                <a:schemeClr val="accent4">
                  <a:lumMod val="80000"/>
                </a:schemeClr>
              </a:solidFill>
              <a:ln w="19050">
                <a:solidFill>
                  <a:schemeClr val="lt1"/>
                </a:solidFill>
              </a:ln>
              <a:effectLst/>
            </c:spPr>
            <c:extLst>
              <c:ext xmlns:c16="http://schemas.microsoft.com/office/drawing/2014/chart" uri="{C3380CC4-5D6E-409C-BE32-E72D297353CC}">
                <c16:uniqueId val="{0000002B-D830-49B7-A641-E38629905657}"/>
              </c:ext>
            </c:extLst>
          </c:dPt>
          <c:dPt>
            <c:idx val="22"/>
            <c:bubble3D val="0"/>
            <c:spPr>
              <a:solidFill>
                <a:schemeClr val="accent5">
                  <a:lumMod val="80000"/>
                </a:schemeClr>
              </a:solidFill>
              <a:ln w="19050">
                <a:solidFill>
                  <a:schemeClr val="lt1"/>
                </a:solidFill>
              </a:ln>
              <a:effectLst/>
            </c:spPr>
            <c:extLst>
              <c:ext xmlns:c16="http://schemas.microsoft.com/office/drawing/2014/chart" uri="{C3380CC4-5D6E-409C-BE32-E72D297353CC}">
                <c16:uniqueId val="{0000002D-D830-49B7-A641-E38629905657}"/>
              </c:ext>
            </c:extLst>
          </c:dPt>
          <c:dPt>
            <c:idx val="23"/>
            <c:bubble3D val="0"/>
            <c:spPr>
              <a:solidFill>
                <a:schemeClr val="accent6">
                  <a:lumMod val="80000"/>
                </a:schemeClr>
              </a:solidFill>
              <a:ln w="19050">
                <a:solidFill>
                  <a:schemeClr val="lt1"/>
                </a:solidFill>
              </a:ln>
              <a:effectLst/>
            </c:spPr>
            <c:extLst>
              <c:ext xmlns:c16="http://schemas.microsoft.com/office/drawing/2014/chart" uri="{C3380CC4-5D6E-409C-BE32-E72D297353CC}">
                <c16:uniqueId val="{0000002F-89C6-42DE-BD8C-667F44600307}"/>
              </c:ext>
            </c:extLst>
          </c:dPt>
          <c:dPt>
            <c:idx val="24"/>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31-89C6-42DE-BD8C-667F44600307}"/>
              </c:ext>
            </c:extLst>
          </c:dPt>
          <c:dPt>
            <c:idx val="25"/>
            <c:bubble3D val="0"/>
            <c:spPr>
              <a:solidFill>
                <a:schemeClr val="accent2">
                  <a:lumMod val="60000"/>
                  <a:lumOff val="40000"/>
                </a:schemeClr>
              </a:solidFill>
              <a:ln w="19050">
                <a:solidFill>
                  <a:schemeClr val="lt1"/>
                </a:solidFill>
              </a:ln>
              <a:effectLst/>
            </c:spPr>
            <c:extLst>
              <c:ext xmlns:c16="http://schemas.microsoft.com/office/drawing/2014/chart" uri="{C3380CC4-5D6E-409C-BE32-E72D297353CC}">
                <c16:uniqueId val="{00000033-5777-4C43-8B43-0AE0F240AEEF}"/>
              </c:ext>
            </c:extLst>
          </c:dPt>
          <c:dLbls>
            <c:dLbl>
              <c:idx val="8"/>
              <c:layout>
                <c:manualLayout>
                  <c:x val="-6.0849798112437035E-2"/>
                  <c:y val="-9.65947921071709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D830-49B7-A641-E3862990565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P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Hoja1!$DB$28:$DB$53</c:f>
              <c:strCache>
                <c:ptCount val="26"/>
                <c:pt idx="0">
                  <c:v>Administración</c:v>
                </c:pt>
                <c:pt idx="1">
                  <c:v>Iluminación</c:v>
                </c:pt>
                <c:pt idx="2">
                  <c:v>#N/D</c:v>
                </c:pt>
                <c:pt idx="3">
                  <c:v>#N/D</c:v>
                </c:pt>
                <c:pt idx="4">
                  <c:v>#N/D</c:v>
                </c:pt>
                <c:pt idx="5">
                  <c:v>#N/D</c:v>
                </c:pt>
                <c:pt idx="6">
                  <c:v>#N/D</c:v>
                </c:pt>
                <c:pt idx="7">
                  <c:v>#N/D</c:v>
                </c:pt>
                <c:pt idx="8">
                  <c:v>#N/D</c:v>
                </c:pt>
                <c:pt idx="9">
                  <c:v>#N/D</c:v>
                </c:pt>
                <c:pt idx="10">
                  <c:v>#N/D</c:v>
                </c:pt>
                <c:pt idx="11">
                  <c:v>#N/D</c:v>
                </c:pt>
                <c:pt idx="12">
                  <c:v>#N/D</c:v>
                </c:pt>
                <c:pt idx="13">
                  <c:v>#N/D</c:v>
                </c:pt>
                <c:pt idx="14">
                  <c:v>#N/D</c:v>
                </c:pt>
                <c:pt idx="15">
                  <c:v>#N/D</c:v>
                </c:pt>
                <c:pt idx="16">
                  <c:v>#N/D</c:v>
                </c:pt>
                <c:pt idx="17">
                  <c:v>#N/D</c:v>
                </c:pt>
                <c:pt idx="18">
                  <c:v>#N/D</c:v>
                </c:pt>
                <c:pt idx="19">
                  <c:v>#N/D</c:v>
                </c:pt>
                <c:pt idx="20">
                  <c:v>#N/D</c:v>
                </c:pt>
                <c:pt idx="21">
                  <c:v>#N/D</c:v>
                </c:pt>
                <c:pt idx="23">
                  <c:v>#N/D</c:v>
                </c:pt>
                <c:pt idx="24">
                  <c:v>#N/D</c:v>
                </c:pt>
                <c:pt idx="25">
                  <c:v>#N/D</c:v>
                </c:pt>
              </c:strCache>
            </c:strRef>
          </c:cat>
          <c:val>
            <c:numRef>
              <c:f>Hoja1!$DC$28:$DC$53</c:f>
              <c:numCache>
                <c:formatCode>0%</c:formatCode>
                <c:ptCount val="2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3">
                  <c:v>#N/A</c:v>
                </c:pt>
                <c:pt idx="24">
                  <c:v>#N/A</c:v>
                </c:pt>
                <c:pt idx="25">
                  <c:v>#N/A</c:v>
                </c:pt>
              </c:numCache>
            </c:numRef>
          </c:val>
          <c:extLst>
            <c:ext xmlns:c16="http://schemas.microsoft.com/office/drawing/2014/chart" uri="{C3380CC4-5D6E-409C-BE32-E72D297353CC}">
              <c16:uniqueId val="{00000000-3A59-4133-9DA5-865845B5A681}"/>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a:sp3d>
  </c:spPr>
  <c:txPr>
    <a:bodyPr/>
    <a:lstStyle/>
    <a:p>
      <a:pPr>
        <a:defRPr/>
      </a:pPr>
      <a:endParaRPr lang="es-PE"/>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s-PE" sz="1200" b="1"/>
              <a:t>DISTRIBUCIÓN CONSUMO </a:t>
            </a:r>
          </a:p>
          <a:p>
            <a:pPr>
              <a:defRPr sz="1200" b="1"/>
            </a:pPr>
            <a:r>
              <a:rPr lang="es-PE" sz="1200" b="1"/>
              <a:t>DE ENERGIA TERMICA</a:t>
            </a:r>
          </a:p>
        </c:rich>
      </c:tx>
      <c:layout>
        <c:manualLayout>
          <c:xMode val="edge"/>
          <c:yMode val="edge"/>
          <c:x val="7.4892924499692828E-2"/>
          <c:y val="8.9910061620250101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manualLayout>
          <c:layoutTarget val="inner"/>
          <c:xMode val="edge"/>
          <c:yMode val="edge"/>
          <c:x val="0.34161198142854193"/>
          <c:y val="0.11279087438832841"/>
          <c:w val="0.49580752150433571"/>
          <c:h val="0.806367945009968"/>
        </c:manualLayout>
      </c:layout>
      <c:pieChart>
        <c:varyColors val="1"/>
        <c:ser>
          <c:idx val="0"/>
          <c:order val="0"/>
          <c:explosion val="11"/>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8B0-4E67-9395-C642BD5C26D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8B0-4E67-9395-C642BD5C26D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8B0-4E67-9395-C642BD5C26D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8B0-4E67-9395-C642BD5C26D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8B0-4E67-9395-C642BD5C26D2}"/>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18B0-4E67-9395-C642BD5C26D2}"/>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18B0-4E67-9395-C642BD5C26D2}"/>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E5CF-494B-8BA5-9FF2473E4ECA}"/>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E5CF-494B-8BA5-9FF2473E4ECA}"/>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E5CF-494B-8BA5-9FF2473E4ECA}"/>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E5CF-494B-8BA5-9FF2473E4ECA}"/>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E5CF-494B-8BA5-9FF2473E4ECA}"/>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E5CF-494B-8BA5-9FF2473E4ECA}"/>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E5CF-494B-8BA5-9FF2473E4ECA}"/>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E5CF-494B-8BA5-9FF2473E4ECA}"/>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E5CF-494B-8BA5-9FF2473E4ECA}"/>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21-E5CF-494B-8BA5-9FF2473E4ECA}"/>
              </c:ext>
            </c:extLst>
          </c:dPt>
          <c:dPt>
            <c:idx val="17"/>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23-E5CF-494B-8BA5-9FF2473E4ECA}"/>
              </c:ext>
            </c:extLst>
          </c:dPt>
          <c:dPt>
            <c:idx val="18"/>
            <c:bubble3D val="0"/>
            <c:spPr>
              <a:solidFill>
                <a:schemeClr val="accent1">
                  <a:lumMod val="80000"/>
                </a:schemeClr>
              </a:solidFill>
              <a:ln w="19050">
                <a:solidFill>
                  <a:schemeClr val="lt1"/>
                </a:solidFill>
              </a:ln>
              <a:effectLst/>
            </c:spPr>
            <c:extLst>
              <c:ext xmlns:c16="http://schemas.microsoft.com/office/drawing/2014/chart" uri="{C3380CC4-5D6E-409C-BE32-E72D297353CC}">
                <c16:uniqueId val="{00000025-E5CF-494B-8BA5-9FF2473E4ECA}"/>
              </c:ext>
            </c:extLst>
          </c:dPt>
          <c:dPt>
            <c:idx val="1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27-E5CF-494B-8BA5-9FF2473E4ECA}"/>
              </c:ext>
            </c:extLst>
          </c:dPt>
          <c:dPt>
            <c:idx val="20"/>
            <c:bubble3D val="0"/>
            <c:spPr>
              <a:solidFill>
                <a:schemeClr val="accent3">
                  <a:lumMod val="80000"/>
                </a:schemeClr>
              </a:solidFill>
              <a:ln w="19050">
                <a:solidFill>
                  <a:schemeClr val="lt1"/>
                </a:solidFill>
              </a:ln>
              <a:effectLst/>
            </c:spPr>
            <c:extLst>
              <c:ext xmlns:c16="http://schemas.microsoft.com/office/drawing/2014/chart" uri="{C3380CC4-5D6E-409C-BE32-E72D297353CC}">
                <c16:uniqueId val="{00000029-E5CF-494B-8BA5-9FF2473E4ECA}"/>
              </c:ext>
            </c:extLst>
          </c:dPt>
          <c:dPt>
            <c:idx val="21"/>
            <c:bubble3D val="0"/>
            <c:spPr>
              <a:solidFill>
                <a:schemeClr val="accent4">
                  <a:lumMod val="80000"/>
                </a:schemeClr>
              </a:solidFill>
              <a:ln w="19050">
                <a:solidFill>
                  <a:schemeClr val="lt1"/>
                </a:solidFill>
              </a:ln>
              <a:effectLst/>
            </c:spPr>
            <c:extLst>
              <c:ext xmlns:c16="http://schemas.microsoft.com/office/drawing/2014/chart" uri="{C3380CC4-5D6E-409C-BE32-E72D297353CC}">
                <c16:uniqueId val="{0000002B-E5CF-494B-8BA5-9FF2473E4ECA}"/>
              </c:ext>
            </c:extLst>
          </c:dPt>
          <c:dLbls>
            <c:dLbl>
              <c:idx val="6"/>
              <c:layout>
                <c:manualLayout>
                  <c:x val="-6.0849798112437035E-2"/>
                  <c:y val="-9.65947921071709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18B0-4E67-9395-C642BD5C26D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P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f>Hoja1!$DS$56:$DS$77</c:f>
              <c:numCache>
                <c:formatCode>General</c:formatCode>
                <c:ptCount val="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cat>
          <c:val>
            <c:numRef>
              <c:f>Hoja1!$DU$56:$DU$77</c:f>
              <c:numCache>
                <c:formatCode>0%</c:formatCode>
                <c:ptCount val="2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numCache>
            </c:numRef>
          </c:val>
          <c:extLst>
            <c:ext xmlns:c16="http://schemas.microsoft.com/office/drawing/2014/chart" uri="{C3380CC4-5D6E-409C-BE32-E72D297353CC}">
              <c16:uniqueId val="{0000000E-18B0-4E67-9395-C642BD5C26D2}"/>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a:sp3d>
  </c:spPr>
  <c:txPr>
    <a:bodyPr/>
    <a:lstStyle/>
    <a:p>
      <a:pPr>
        <a:defRPr/>
      </a:pPr>
      <a:endParaRPr lang="es-PE"/>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barChart>
        <c:barDir val="col"/>
        <c:grouping val="clustered"/>
        <c:varyColors val="0"/>
        <c:ser>
          <c:idx val="0"/>
          <c:order val="0"/>
          <c:tx>
            <c:strRef>
              <c:f>Hoja1!$EA$5</c:f>
              <c:strCache>
                <c:ptCount val="1"/>
                <c:pt idx="0">
                  <c:v>In</c:v>
                </c:pt>
              </c:strCache>
            </c:strRef>
          </c:tx>
          <c:spPr>
            <a:solidFill>
              <a:schemeClr val="accent1"/>
            </a:solidFill>
            <a:ln>
              <a:noFill/>
            </a:ln>
            <a:effectLst/>
          </c:spPr>
          <c:invertIfNegative val="0"/>
          <c:val>
            <c:numRef>
              <c:f>Hoja1!$EA$6:$EA$11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9ECE-4792-B7CA-CA0E5BD68AEB}"/>
            </c:ext>
          </c:extLst>
        </c:ser>
        <c:ser>
          <c:idx val="1"/>
          <c:order val="1"/>
          <c:tx>
            <c:strRef>
              <c:f>Hoja1!$EB$5</c:f>
              <c:strCache>
                <c:ptCount val="1"/>
                <c:pt idx="0">
                  <c:v>L1</c:v>
                </c:pt>
              </c:strCache>
            </c:strRef>
          </c:tx>
          <c:spPr>
            <a:solidFill>
              <a:schemeClr val="accent2"/>
            </a:solidFill>
            <a:ln>
              <a:noFill/>
            </a:ln>
            <a:effectLst/>
          </c:spPr>
          <c:invertIfNegative val="0"/>
          <c:val>
            <c:numRef>
              <c:f>Hoja1!$EB$6:$EB$11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ECE-4792-B7CA-CA0E5BD68AEB}"/>
            </c:ext>
          </c:extLst>
        </c:ser>
        <c:ser>
          <c:idx val="2"/>
          <c:order val="2"/>
          <c:tx>
            <c:strRef>
              <c:f>Hoja1!$EC$5</c:f>
              <c:strCache>
                <c:ptCount val="1"/>
                <c:pt idx="0">
                  <c:v>L2</c:v>
                </c:pt>
              </c:strCache>
            </c:strRef>
          </c:tx>
          <c:spPr>
            <a:solidFill>
              <a:schemeClr val="accent3"/>
            </a:solidFill>
            <a:ln>
              <a:noFill/>
            </a:ln>
            <a:effectLst/>
          </c:spPr>
          <c:invertIfNegative val="0"/>
          <c:val>
            <c:numRef>
              <c:f>Hoja1!$EC$6:$EC$11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9ECE-4792-B7CA-CA0E5BD68AEB}"/>
            </c:ext>
          </c:extLst>
        </c:ser>
        <c:ser>
          <c:idx val="3"/>
          <c:order val="3"/>
          <c:tx>
            <c:strRef>
              <c:f>Hoja1!$ED$5</c:f>
              <c:strCache>
                <c:ptCount val="1"/>
                <c:pt idx="0">
                  <c:v>L3</c:v>
                </c:pt>
              </c:strCache>
            </c:strRef>
          </c:tx>
          <c:spPr>
            <a:solidFill>
              <a:schemeClr val="accent4"/>
            </a:solidFill>
            <a:ln>
              <a:noFill/>
            </a:ln>
            <a:effectLst/>
          </c:spPr>
          <c:invertIfNegative val="0"/>
          <c:val>
            <c:numRef>
              <c:f>Hoja1!$ED$6:$ED$11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9ECE-4792-B7CA-CA0E5BD68AEB}"/>
            </c:ext>
          </c:extLst>
        </c:ser>
        <c:ser>
          <c:idx val="4"/>
          <c:order val="4"/>
          <c:tx>
            <c:strRef>
              <c:f>Hoja1!$DY$6</c:f>
              <c:strCache>
                <c:ptCount val="1"/>
                <c:pt idx="0">
                  <c:v>-</c:v>
                </c:pt>
              </c:strCache>
            </c:strRef>
          </c:tx>
          <c:spPr>
            <a:solidFill>
              <a:schemeClr val="accent5"/>
            </a:solidFill>
            <a:ln>
              <a:noFill/>
            </a:ln>
            <a:effectLst/>
          </c:spPr>
          <c:invertIfNegative val="0"/>
          <c:val>
            <c:numRef>
              <c:f>Hoja1!$DY$7:$DY$11</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4-9ECE-4792-B7CA-CA0E5BD68AEB}"/>
            </c:ext>
          </c:extLst>
        </c:ser>
        <c:dLbls>
          <c:showLegendKey val="0"/>
          <c:showVal val="0"/>
          <c:showCatName val="0"/>
          <c:showSerName val="0"/>
          <c:showPercent val="0"/>
          <c:showBubbleSize val="0"/>
        </c:dLbls>
        <c:gapWidth val="219"/>
        <c:axId val="579216703"/>
        <c:axId val="579215743"/>
      </c:barChart>
      <c:catAx>
        <c:axId val="579216703"/>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79215743"/>
        <c:crosses val="autoZero"/>
        <c:auto val="1"/>
        <c:lblAlgn val="ctr"/>
        <c:lblOffset val="100"/>
        <c:noMultiLvlLbl val="0"/>
      </c:catAx>
      <c:valAx>
        <c:axId val="57921574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79216703"/>
        <c:crosses val="autoZero"/>
        <c:crossBetween val="between"/>
      </c:valAx>
      <c:spPr>
        <a:noFill/>
        <a:ln>
          <a:noFill/>
        </a:ln>
        <a:effectLst/>
      </c:spPr>
    </c:plotArea>
    <c:legend>
      <c:legendPos val="b"/>
      <c:legendEntry>
        <c:idx val="4"/>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Balance</a:t>
            </a:r>
            <a:r>
              <a:rPr lang="es-PE" baseline="0"/>
              <a:t> de I</a:t>
            </a:r>
            <a:r>
              <a:rPr lang="es-PE" sz="900" baseline="0"/>
              <a:t>fases</a:t>
            </a:r>
            <a:r>
              <a:rPr lang="es-PE" baseline="0"/>
              <a:t> vs I</a:t>
            </a:r>
            <a:r>
              <a:rPr lang="es-PE" sz="900" baseline="0"/>
              <a:t>nominal</a:t>
            </a:r>
            <a:r>
              <a:rPr lang="es-PE" sz="1000" baseline="0"/>
              <a:t> </a:t>
            </a:r>
            <a:r>
              <a:rPr lang="es-PE" baseline="0"/>
              <a:t>(placa)</a:t>
            </a:r>
            <a:endParaRPr lang="es-P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barChart>
        <c:barDir val="col"/>
        <c:grouping val="clustered"/>
        <c:varyColors val="0"/>
        <c:ser>
          <c:idx val="2"/>
          <c:order val="1"/>
          <c:tx>
            <c:strRef>
              <c:f>Hoja1!$EL$5</c:f>
              <c:strCache>
                <c:ptCount val="1"/>
                <c:pt idx="0">
                  <c:v>L1</c:v>
                </c:pt>
              </c:strCache>
            </c:strRef>
          </c:tx>
          <c:spPr>
            <a:solidFill>
              <a:schemeClr val="accent3"/>
            </a:solidFill>
            <a:ln>
              <a:noFill/>
            </a:ln>
            <a:effectLst/>
          </c:spPr>
          <c:invertIfNegative val="0"/>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Hoja1!$EL$6:$EL$28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2-02BC-4454-95ED-0EE050DF9D00}"/>
            </c:ext>
          </c:extLst>
        </c:ser>
        <c:ser>
          <c:idx val="3"/>
          <c:order val="2"/>
          <c:tx>
            <c:strRef>
              <c:f>Hoja1!$EM$5</c:f>
              <c:strCache>
                <c:ptCount val="1"/>
                <c:pt idx="0">
                  <c:v>L2</c:v>
                </c:pt>
              </c:strCache>
            </c:strRef>
          </c:tx>
          <c:spPr>
            <a:solidFill>
              <a:schemeClr val="accent4"/>
            </a:solidFill>
            <a:ln>
              <a:noFill/>
            </a:ln>
            <a:effectLst/>
          </c:spPr>
          <c:invertIfNegative val="0"/>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Hoja1!$EM$6:$EM$28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3-02BC-4454-95ED-0EE050DF9D00}"/>
            </c:ext>
          </c:extLst>
        </c:ser>
        <c:ser>
          <c:idx val="0"/>
          <c:order val="3"/>
          <c:tx>
            <c:strRef>
              <c:f>Hoja1!$EN$5</c:f>
              <c:strCache>
                <c:ptCount val="1"/>
                <c:pt idx="0">
                  <c:v>L3</c:v>
                </c:pt>
              </c:strCache>
            </c:strRef>
          </c:tx>
          <c:spPr>
            <a:solidFill>
              <a:schemeClr val="accent1"/>
            </a:solidFill>
            <a:ln>
              <a:noFill/>
            </a:ln>
            <a:effectLst/>
          </c:spPr>
          <c:invertIfNegative val="0"/>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Hoja1!$EN$6:$EN$28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4-02BC-4454-95ED-0EE050DF9D00}"/>
            </c:ext>
          </c:extLst>
        </c:ser>
        <c:dLbls>
          <c:showLegendKey val="0"/>
          <c:showVal val="0"/>
          <c:showCatName val="0"/>
          <c:showSerName val="0"/>
          <c:showPercent val="0"/>
          <c:showBubbleSize val="0"/>
        </c:dLbls>
        <c:gapWidth val="219"/>
        <c:axId val="1548898640"/>
        <c:axId val="1548900560"/>
      </c:barChart>
      <c:lineChart>
        <c:grouping val="standard"/>
        <c:varyColors val="0"/>
        <c:ser>
          <c:idx val="1"/>
          <c:order val="0"/>
          <c:tx>
            <c:strRef>
              <c:f>Hoja1!$EK$5</c:f>
              <c:strCache>
                <c:ptCount val="1"/>
                <c:pt idx="0">
                  <c:v>In</c:v>
                </c:pt>
              </c:strCache>
            </c:strRef>
          </c:tx>
          <c:spPr>
            <a:ln w="28575" cap="rnd">
              <a:solidFill>
                <a:schemeClr val="accent2"/>
              </a:solidFill>
              <a:round/>
            </a:ln>
            <a:effectLst/>
          </c:spPr>
          <c:marker>
            <c:symbol val="none"/>
          </c:marker>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Hoja1!$EK$6:$EK$28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1-02BC-4454-95ED-0EE050DF9D00}"/>
            </c:ext>
          </c:extLst>
        </c:ser>
        <c:dLbls>
          <c:showLegendKey val="0"/>
          <c:showVal val="0"/>
          <c:showCatName val="0"/>
          <c:showSerName val="0"/>
          <c:showPercent val="0"/>
          <c:showBubbleSize val="0"/>
        </c:dLbls>
        <c:marker val="1"/>
        <c:smooth val="0"/>
        <c:axId val="1548898640"/>
        <c:axId val="1548900560"/>
      </c:lineChart>
      <c:catAx>
        <c:axId val="154889864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Equipos eléctricos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548900560"/>
        <c:crosses val="autoZero"/>
        <c:auto val="1"/>
        <c:lblAlgn val="ctr"/>
        <c:lblOffset val="100"/>
        <c:noMultiLvlLbl val="0"/>
      </c:catAx>
      <c:valAx>
        <c:axId val="15489005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 de balance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5488986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Balance de corriente entre fases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barChart>
        <c:barDir val="col"/>
        <c:grouping val="clustered"/>
        <c:varyColors val="0"/>
        <c:ser>
          <c:idx val="0"/>
          <c:order val="0"/>
          <c:tx>
            <c:strRef>
              <c:f>Hoja1!$EF$5</c:f>
              <c:strCache>
                <c:ptCount val="1"/>
                <c:pt idx="0">
                  <c:v>L1/L2</c:v>
                </c:pt>
              </c:strCache>
            </c:strRef>
          </c:tx>
          <c:spPr>
            <a:solidFill>
              <a:srgbClr val="FFC000"/>
            </a:solidFill>
            <a:ln>
              <a:noFill/>
            </a:ln>
            <a:effectLst/>
          </c:spPr>
          <c:invertIfNegative val="0"/>
          <c:cat>
            <c:strRef>
              <c:f>Hoja1!$EE$6:$EE$28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Hoja1!$EF$6:$EF$28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C181-4441-82B3-84C3627012F2}"/>
            </c:ext>
          </c:extLst>
        </c:ser>
        <c:ser>
          <c:idx val="1"/>
          <c:order val="1"/>
          <c:tx>
            <c:strRef>
              <c:f>Hoja1!$EG$5</c:f>
              <c:strCache>
                <c:ptCount val="1"/>
                <c:pt idx="0">
                  <c:v>L2/L3 </c:v>
                </c:pt>
              </c:strCache>
            </c:strRef>
          </c:tx>
          <c:spPr>
            <a:solidFill>
              <a:srgbClr val="00B050"/>
            </a:solidFill>
            <a:ln>
              <a:noFill/>
            </a:ln>
            <a:effectLst/>
          </c:spPr>
          <c:invertIfNegative val="0"/>
          <c:cat>
            <c:strRef>
              <c:f>Hoja1!$EE$6:$EE$28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Hoja1!$EG$6:$EG$28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C181-4441-82B3-84C3627012F2}"/>
            </c:ext>
          </c:extLst>
        </c:ser>
        <c:ser>
          <c:idx val="2"/>
          <c:order val="2"/>
          <c:tx>
            <c:strRef>
              <c:f>Hoja1!$EH$5</c:f>
              <c:strCache>
                <c:ptCount val="1"/>
                <c:pt idx="0">
                  <c:v>L3/L1</c:v>
                </c:pt>
              </c:strCache>
            </c:strRef>
          </c:tx>
          <c:spPr>
            <a:solidFill>
              <a:schemeClr val="accent1">
                <a:lumMod val="75000"/>
              </a:schemeClr>
            </a:solidFill>
            <a:ln>
              <a:noFill/>
            </a:ln>
            <a:effectLst/>
          </c:spPr>
          <c:invertIfNegative val="0"/>
          <c:cat>
            <c:strRef>
              <c:f>Hoja1!$EE$6:$EE$28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Hoja1!$EH$6:$EH$28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2-C181-4441-82B3-84C3627012F2}"/>
            </c:ext>
          </c:extLst>
        </c:ser>
        <c:dLbls>
          <c:showLegendKey val="0"/>
          <c:showVal val="0"/>
          <c:showCatName val="0"/>
          <c:showSerName val="0"/>
          <c:showPercent val="0"/>
          <c:showBubbleSize val="0"/>
        </c:dLbls>
        <c:gapWidth val="101"/>
        <c:axId val="933337055"/>
        <c:axId val="933338495"/>
      </c:barChart>
      <c:lineChart>
        <c:grouping val="standard"/>
        <c:varyColors val="0"/>
        <c:ser>
          <c:idx val="3"/>
          <c:order val="3"/>
          <c:tx>
            <c:strRef>
              <c:f>Hoja1!$EI$5</c:f>
              <c:strCache>
                <c:ptCount val="1"/>
                <c:pt idx="0">
                  <c:v>Fase Balanceada</c:v>
                </c:pt>
              </c:strCache>
            </c:strRef>
          </c:tx>
          <c:spPr>
            <a:ln w="28575" cap="rnd">
              <a:solidFill>
                <a:srgbClr val="FF0000"/>
              </a:solidFill>
              <a:round/>
            </a:ln>
            <a:effectLst/>
          </c:spPr>
          <c:marker>
            <c:symbol val="none"/>
          </c:marker>
          <c:cat>
            <c:strRef>
              <c:f>Hoja1!$EE$6:$EE$28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Hoja1!$EI$6:$EI$28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0-D110-494F-92C3-5073065D759D}"/>
            </c:ext>
          </c:extLst>
        </c:ser>
        <c:dLbls>
          <c:showLegendKey val="0"/>
          <c:showVal val="0"/>
          <c:showCatName val="0"/>
          <c:showSerName val="0"/>
          <c:showPercent val="0"/>
          <c:showBubbleSize val="0"/>
        </c:dLbls>
        <c:marker val="1"/>
        <c:smooth val="0"/>
        <c:axId val="933337055"/>
        <c:axId val="933338495"/>
      </c:lineChart>
      <c:catAx>
        <c:axId val="93333705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Equipos eléctricos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33338495"/>
        <c:crosses val="autoZero"/>
        <c:auto val="1"/>
        <c:lblAlgn val="ctr"/>
        <c:lblOffset val="100"/>
        <c:noMultiLvlLbl val="0"/>
      </c:catAx>
      <c:valAx>
        <c:axId val="93333849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 de balance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333370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1"/>
          <c:tx>
            <c:strRef>
              <c:f>Hoja1!$EL$5</c:f>
              <c:strCache>
                <c:ptCount val="1"/>
                <c:pt idx="0">
                  <c:v>L1</c:v>
                </c:pt>
              </c:strCache>
            </c:strRef>
          </c:tx>
          <c:spPr>
            <a:solidFill>
              <a:schemeClr val="accent2"/>
            </a:solidFill>
            <a:ln>
              <a:noFill/>
            </a:ln>
            <a:effectLst/>
          </c:spPr>
          <c:invertIfNegative val="0"/>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Hoja1!$EL$6:$EL$28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7-21CB-48B3-B4E2-BDC0AFB9CD51}"/>
            </c:ext>
          </c:extLst>
        </c:ser>
        <c:ser>
          <c:idx val="2"/>
          <c:order val="2"/>
          <c:tx>
            <c:strRef>
              <c:f>Hoja1!$EM$5</c:f>
              <c:strCache>
                <c:ptCount val="1"/>
                <c:pt idx="0">
                  <c:v>L2</c:v>
                </c:pt>
              </c:strCache>
            </c:strRef>
          </c:tx>
          <c:spPr>
            <a:solidFill>
              <a:schemeClr val="accent3"/>
            </a:solidFill>
            <a:ln>
              <a:noFill/>
            </a:ln>
            <a:effectLst/>
          </c:spPr>
          <c:invertIfNegative val="0"/>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Hoja1!$EM$6:$EM$28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8-21CB-48B3-B4E2-BDC0AFB9CD51}"/>
            </c:ext>
          </c:extLst>
        </c:ser>
        <c:ser>
          <c:idx val="3"/>
          <c:order val="3"/>
          <c:tx>
            <c:strRef>
              <c:f>Hoja1!$EN$5</c:f>
              <c:strCache>
                <c:ptCount val="1"/>
                <c:pt idx="0">
                  <c:v>L3</c:v>
                </c:pt>
              </c:strCache>
            </c:strRef>
          </c:tx>
          <c:spPr>
            <a:solidFill>
              <a:schemeClr val="accent4"/>
            </a:solidFill>
            <a:ln>
              <a:noFill/>
            </a:ln>
            <a:effectLst/>
          </c:spPr>
          <c:invertIfNegative val="0"/>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Hoja1!$EN$6:$EN$28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9-21CB-48B3-B4E2-BDC0AFB9CD51}"/>
            </c:ext>
          </c:extLst>
        </c:ser>
        <c:dLbls>
          <c:showLegendKey val="0"/>
          <c:showVal val="0"/>
          <c:showCatName val="0"/>
          <c:showSerName val="0"/>
          <c:showPercent val="0"/>
          <c:showBubbleSize val="0"/>
        </c:dLbls>
        <c:gapWidth val="219"/>
        <c:overlap val="-27"/>
        <c:axId val="60708304"/>
        <c:axId val="60711664"/>
      </c:barChart>
      <c:lineChart>
        <c:grouping val="standard"/>
        <c:varyColors val="0"/>
        <c:ser>
          <c:idx val="0"/>
          <c:order val="0"/>
          <c:tx>
            <c:strRef>
              <c:f>Hoja1!$EK$5</c:f>
              <c:strCache>
                <c:ptCount val="1"/>
                <c:pt idx="0">
                  <c:v>In</c:v>
                </c:pt>
              </c:strCache>
            </c:strRef>
          </c:tx>
          <c:spPr>
            <a:ln w="28575" cap="rnd">
              <a:solidFill>
                <a:schemeClr val="accent1"/>
              </a:solidFill>
              <a:round/>
            </a:ln>
            <a:effectLst/>
          </c:spPr>
          <c:marker>
            <c:symbol val="none"/>
          </c:marker>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Hoja1!$EK$6:$EK$28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6-21CB-48B3-B4E2-BDC0AFB9CD51}"/>
            </c:ext>
          </c:extLst>
        </c:ser>
        <c:dLbls>
          <c:showLegendKey val="0"/>
          <c:showVal val="0"/>
          <c:showCatName val="0"/>
          <c:showSerName val="0"/>
          <c:showPercent val="0"/>
          <c:showBubbleSize val="0"/>
        </c:dLbls>
        <c:marker val="1"/>
        <c:smooth val="0"/>
        <c:axId val="60708304"/>
        <c:axId val="60711664"/>
      </c:lineChart>
      <c:catAx>
        <c:axId val="60708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60711664"/>
        <c:crosses val="autoZero"/>
        <c:auto val="1"/>
        <c:lblAlgn val="ctr"/>
        <c:lblOffset val="100"/>
        <c:noMultiLvlLbl val="0"/>
      </c:catAx>
      <c:valAx>
        <c:axId val="607116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60708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Energía Eléctrica: Costo</a:t>
            </a:r>
            <a:r>
              <a:rPr lang="es-PE" baseline="0"/>
              <a:t> vs Consumo</a:t>
            </a:r>
            <a:endParaRPr lang="es-P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c:v>
          </c:tx>
          <c:spPr>
            <a:ln w="28575" cap="rnd">
              <a:solidFill>
                <a:schemeClr val="accent1"/>
              </a:solidFill>
              <a:round/>
            </a:ln>
            <a:effectLst/>
          </c:spPr>
          <c:marker>
            <c:symbol val="none"/>
          </c:marker>
          <c:cat>
            <c:numRef>
              <c:f>Hoja1!$AO$6:$AO$17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Hoja1!$AR$6:$AR$17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852D-4C9D-9310-EE05A975E5EA}"/>
            </c:ext>
          </c:extLst>
        </c:ser>
        <c:dLbls>
          <c:showLegendKey val="0"/>
          <c:showVal val="0"/>
          <c:showCatName val="0"/>
          <c:showSerName val="0"/>
          <c:showPercent val="0"/>
          <c:showBubbleSize val="0"/>
        </c:dLbls>
        <c:marker val="1"/>
        <c:smooth val="0"/>
        <c:axId val="554027344"/>
        <c:axId val="554028304"/>
      </c:lineChart>
      <c:lineChart>
        <c:grouping val="standard"/>
        <c:varyColors val="0"/>
        <c:ser>
          <c:idx val="1"/>
          <c:order val="1"/>
          <c:tx>
            <c:v>Consumo energía</c:v>
          </c:tx>
          <c:spPr>
            <a:ln w="28575" cap="rnd">
              <a:solidFill>
                <a:schemeClr val="accent2"/>
              </a:solidFill>
              <a:round/>
            </a:ln>
            <a:effectLst/>
          </c:spPr>
          <c:marker>
            <c:symbol val="none"/>
          </c:marker>
          <c:cat>
            <c:numRef>
              <c:f>Hoja1!$AO$6:$AO$17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Hoja1!$AS$6:$AS$17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1-852D-4C9D-9310-EE05A975E5EA}"/>
            </c:ext>
          </c:extLst>
        </c:ser>
        <c:dLbls>
          <c:showLegendKey val="0"/>
          <c:showVal val="0"/>
          <c:showCatName val="0"/>
          <c:showSerName val="0"/>
          <c:showPercent val="0"/>
          <c:showBubbleSize val="0"/>
        </c:dLbls>
        <c:marker val="1"/>
        <c:smooth val="0"/>
        <c:axId val="440559360"/>
        <c:axId val="440564640"/>
      </c:lineChart>
      <c:dateAx>
        <c:axId val="55402734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layout>
            <c:manualLayout>
              <c:xMode val="edge"/>
              <c:yMode val="edge"/>
              <c:x val="0.43938955562951643"/>
              <c:y val="0.801265077624516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54028304"/>
        <c:crosses val="autoZero"/>
        <c:auto val="1"/>
        <c:lblOffset val="100"/>
        <c:baseTimeUnit val="months"/>
      </c:dateAx>
      <c:valAx>
        <c:axId val="5540283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54027344"/>
        <c:crosses val="autoZero"/>
        <c:crossBetween val="between"/>
      </c:valAx>
      <c:valAx>
        <c:axId val="44056464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kWh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440559360"/>
        <c:crosses val="max"/>
        <c:crossBetween val="between"/>
      </c:valAx>
      <c:dateAx>
        <c:axId val="440559360"/>
        <c:scaling>
          <c:orientation val="minMax"/>
        </c:scaling>
        <c:delete val="1"/>
        <c:axPos val="b"/>
        <c:numFmt formatCode="mmm\-yy" sourceLinked="1"/>
        <c:majorTickMark val="out"/>
        <c:minorTickMark val="none"/>
        <c:tickLblPos val="nextTo"/>
        <c:crossAx val="440564640"/>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energia electrica x produccion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scatterChart>
        <c:scatterStyle val="lineMarker"/>
        <c:varyColors val="0"/>
        <c:ser>
          <c:idx val="0"/>
          <c:order val="0"/>
          <c:tx>
            <c:strRef>
              <c:f>Hoja1!$BF$36</c:f>
              <c:strCache>
                <c:ptCount val="1"/>
                <c:pt idx="0">
                  <c:v>produccion</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33705363617903866"/>
                  <c:y val="0.10815333568902823"/>
                </c:manualLayout>
              </c:layout>
              <c:numFmt formatCode="#,##0.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trendlineLbl>
          </c:trendline>
          <c:xVal>
            <c:numRef>
              <c:f>Hoja1!$BF$37:$BF$48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Hoja1!$BD$37:$BD$48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0-3FA9-41CD-993C-2E14D60F417E}"/>
            </c:ext>
          </c:extLst>
        </c:ser>
        <c:dLbls>
          <c:showLegendKey val="0"/>
          <c:showVal val="0"/>
          <c:showCatName val="0"/>
          <c:showSerName val="0"/>
          <c:showPercent val="0"/>
          <c:showBubbleSize val="0"/>
        </c:dLbls>
        <c:axId val="952908752"/>
        <c:axId val="952907312"/>
      </c:scatterChart>
      <c:valAx>
        <c:axId val="95290875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producción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2907312"/>
        <c:crosses val="autoZero"/>
        <c:crossBetween val="midCat"/>
      </c:valAx>
      <c:valAx>
        <c:axId val="95290731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energía eléctrica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2908752"/>
        <c:crosses val="autoZero"/>
        <c:crossBetween val="midCat"/>
      </c:valAx>
      <c:spPr>
        <a:noFill/>
        <a:ln>
          <a:noFill/>
        </a:ln>
        <a:effectLst/>
      </c:spPr>
    </c:plotArea>
    <c:legend>
      <c:legendPos val="r"/>
      <c:layout>
        <c:manualLayout>
          <c:xMode val="edge"/>
          <c:yMode val="edge"/>
          <c:x val="0.73587277685312913"/>
          <c:y val="0.49274030645240247"/>
          <c:w val="0.23339537866994137"/>
          <c:h val="0.1304748028310904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scatterChart>
        <c:scatterStyle val="lineMarker"/>
        <c:varyColors val="0"/>
        <c:ser>
          <c:idx val="0"/>
          <c:order val="0"/>
          <c:tx>
            <c:v>energia termica x produccion</c:v>
          </c:tx>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39196152328698752"/>
                  <c:y val="0.37326206236920306"/>
                </c:manualLayout>
              </c:layout>
              <c:numFmt formatCode="#,##0.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trendlineLbl>
          </c:trendline>
          <c:xVal>
            <c:numRef>
              <c:f>Hoja1!$BF$37:$BF$48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Hoja1!$BE$37:$BE$48</c:f>
              <c:numCache>
                <c:formatCode>_(* #,##0.00_);_(* \(#,##0.00\);_(*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0-74B7-44A2-A129-18482102DFD5}"/>
            </c:ext>
          </c:extLst>
        </c:ser>
        <c:dLbls>
          <c:showLegendKey val="0"/>
          <c:showVal val="0"/>
          <c:showCatName val="0"/>
          <c:showSerName val="0"/>
          <c:showPercent val="0"/>
          <c:showBubbleSize val="0"/>
        </c:dLbls>
        <c:axId val="1001887968"/>
        <c:axId val="1001889888"/>
      </c:scatterChart>
      <c:valAx>
        <c:axId val="10018879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producción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001889888"/>
        <c:crosses val="autoZero"/>
        <c:crossBetween val="midCat"/>
      </c:valAx>
      <c:valAx>
        <c:axId val="100188988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energía térmica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 #,##0.00_);_(* \(#,##0.00\);_(* &quot;-&quot;??_);_(@_)"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001887968"/>
        <c:crosses val="autoZero"/>
        <c:crossBetween val="midCat"/>
      </c:valAx>
      <c:spPr>
        <a:noFill/>
        <a:ln>
          <a:noFill/>
        </a:ln>
        <a:effectLst/>
      </c:spPr>
    </c:plotArea>
    <c:legend>
      <c:legendPos val="r"/>
      <c:layout>
        <c:manualLayout>
          <c:xMode val="edge"/>
          <c:yMode val="edge"/>
          <c:x val="0.63876787175131955"/>
          <c:y val="0.14343673776479773"/>
          <c:w val="0.34170292055017448"/>
          <c:h val="0.2419059883716440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Precio del kWh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precio de la energía</c:v>
          </c:tx>
          <c:spPr>
            <a:ln w="28575" cap="rnd">
              <a:solidFill>
                <a:schemeClr val="accent1"/>
              </a:solidFill>
              <a:round/>
            </a:ln>
            <a:effectLst/>
          </c:spPr>
          <c:marker>
            <c:symbol val="none"/>
          </c:marker>
          <c:cat>
            <c:numRef>
              <c:f>Hoja1!$AO$6:$AO$17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Hoja1!$AT$6:$AT$17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58EB-479C-8A40-48705F418967}"/>
            </c:ext>
          </c:extLst>
        </c:ser>
        <c:dLbls>
          <c:showLegendKey val="0"/>
          <c:showVal val="0"/>
          <c:showCatName val="0"/>
          <c:showSerName val="0"/>
          <c:showPercent val="0"/>
          <c:showBubbleSize val="0"/>
        </c:dLbls>
        <c:smooth val="0"/>
        <c:axId val="392568992"/>
        <c:axId val="392569472"/>
      </c:lineChart>
      <c:dateAx>
        <c:axId val="392568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392569472"/>
        <c:crosses val="autoZero"/>
        <c:auto val="1"/>
        <c:lblOffset val="100"/>
        <c:baseTimeUnit val="months"/>
      </c:dateAx>
      <c:valAx>
        <c:axId val="3925694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3925689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Costo de GLP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de GLP</c:v>
          </c:tx>
          <c:spPr>
            <a:ln w="28575" cap="rnd">
              <a:solidFill>
                <a:schemeClr val="accent1"/>
              </a:solidFill>
              <a:round/>
            </a:ln>
            <a:effectLst/>
          </c:spPr>
          <c:marker>
            <c:symbol val="none"/>
          </c:marker>
          <c:cat>
            <c:numRef>
              <c:f>Hoja1!$AU$6:$AU$17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Hoja1!$AY$6:$AY$17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545D-440A-8220-4EBC9DC96810}"/>
            </c:ext>
          </c:extLst>
        </c:ser>
        <c:dLbls>
          <c:showLegendKey val="0"/>
          <c:showVal val="0"/>
          <c:showCatName val="0"/>
          <c:showSerName val="0"/>
          <c:showPercent val="0"/>
          <c:showBubbleSize val="0"/>
        </c:dLbls>
        <c:smooth val="0"/>
        <c:axId val="563746864"/>
        <c:axId val="563747344"/>
      </c:lineChart>
      <c:dateAx>
        <c:axId val="56374686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63747344"/>
        <c:crosses val="autoZero"/>
        <c:auto val="1"/>
        <c:lblOffset val="100"/>
        <c:baseTimeUnit val="months"/>
      </c:dateAx>
      <c:valAx>
        <c:axId val="5637473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637468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Costo de GN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de GN</c:v>
          </c:tx>
          <c:spPr>
            <a:ln w="28575" cap="rnd">
              <a:solidFill>
                <a:schemeClr val="accent1"/>
              </a:solidFill>
              <a:round/>
            </a:ln>
            <a:effectLst/>
          </c:spPr>
          <c:marker>
            <c:symbol val="none"/>
          </c:marker>
          <c:cat>
            <c:numRef>
              <c:f>Hoja1!$BC$6:$BC$17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Hoja1!$BF$6:$BF$17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8F4A-439C-A393-1A050CD254A4}"/>
            </c:ext>
          </c:extLst>
        </c:ser>
        <c:dLbls>
          <c:showLegendKey val="0"/>
          <c:showVal val="0"/>
          <c:showCatName val="0"/>
          <c:showSerName val="0"/>
          <c:showPercent val="0"/>
          <c:showBubbleSize val="0"/>
        </c:dLbls>
        <c:smooth val="0"/>
        <c:axId val="951334832"/>
        <c:axId val="951337712"/>
      </c:lineChart>
      <c:dateAx>
        <c:axId val="95133483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layout>
            <c:manualLayout>
              <c:xMode val="edge"/>
              <c:yMode val="edge"/>
              <c:x val="0.5162248368885034"/>
              <c:y val="0.78256324731491633"/>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1337712"/>
        <c:crosses val="autoZero"/>
        <c:auto val="1"/>
        <c:lblOffset val="100"/>
        <c:baseTimeUnit val="months"/>
      </c:dateAx>
      <c:valAx>
        <c:axId val="9513377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1334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Costo de Diesel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de Diesel</c:v>
          </c:tx>
          <c:spPr>
            <a:ln w="28575" cap="rnd">
              <a:solidFill>
                <a:schemeClr val="accent1"/>
              </a:solidFill>
              <a:round/>
            </a:ln>
            <a:effectLst/>
          </c:spPr>
          <c:marker>
            <c:symbol val="none"/>
          </c:marker>
          <c:cat>
            <c:numRef>
              <c:f>Hoja1!$BH$6:$BH$17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Hoja1!$BK$6:$BK$17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7447-400C-8F7B-392A32195676}"/>
            </c:ext>
          </c:extLst>
        </c:ser>
        <c:dLbls>
          <c:showLegendKey val="0"/>
          <c:showVal val="0"/>
          <c:showCatName val="0"/>
          <c:showSerName val="0"/>
          <c:showPercent val="0"/>
          <c:showBubbleSize val="0"/>
        </c:dLbls>
        <c:smooth val="0"/>
        <c:axId val="951334832"/>
        <c:axId val="951337712"/>
      </c:lineChart>
      <c:dateAx>
        <c:axId val="95133483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1337712"/>
        <c:crosses val="autoZero"/>
        <c:auto val="1"/>
        <c:lblOffset val="100"/>
        <c:baseTimeUnit val="months"/>
      </c:dateAx>
      <c:valAx>
        <c:axId val="9513377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1334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Balance</a:t>
            </a:r>
            <a:r>
              <a:rPr lang="es-PE" baseline="0"/>
              <a:t> de I</a:t>
            </a:r>
            <a:r>
              <a:rPr lang="es-PE" sz="900" baseline="0"/>
              <a:t>fases</a:t>
            </a:r>
            <a:r>
              <a:rPr lang="es-PE" baseline="0"/>
              <a:t> vs I</a:t>
            </a:r>
            <a:r>
              <a:rPr lang="es-PE" sz="900" baseline="0"/>
              <a:t>nominal</a:t>
            </a:r>
            <a:r>
              <a:rPr lang="es-PE" sz="1000" baseline="0"/>
              <a:t> </a:t>
            </a:r>
            <a:r>
              <a:rPr lang="es-PE" baseline="0"/>
              <a:t>(placa)</a:t>
            </a:r>
            <a:endParaRPr lang="es-P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barChart>
        <c:barDir val="col"/>
        <c:grouping val="clustered"/>
        <c:varyColors val="0"/>
        <c:ser>
          <c:idx val="2"/>
          <c:order val="1"/>
          <c:tx>
            <c:strRef>
              <c:f>Hoja1!$EL$5</c:f>
              <c:strCache>
                <c:ptCount val="1"/>
                <c:pt idx="0">
                  <c:v>L1</c:v>
                </c:pt>
              </c:strCache>
            </c:strRef>
          </c:tx>
          <c:spPr>
            <a:solidFill>
              <a:schemeClr val="accent3"/>
            </a:solidFill>
            <a:ln>
              <a:noFill/>
            </a:ln>
            <a:effectLst/>
          </c:spPr>
          <c:invertIfNegative val="0"/>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Hoja1!$EL$6:$EL$28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9AE1-4664-8741-3B47A35B094E}"/>
            </c:ext>
          </c:extLst>
        </c:ser>
        <c:ser>
          <c:idx val="3"/>
          <c:order val="2"/>
          <c:tx>
            <c:strRef>
              <c:f>Hoja1!$EM$5</c:f>
              <c:strCache>
                <c:ptCount val="1"/>
                <c:pt idx="0">
                  <c:v>L2</c:v>
                </c:pt>
              </c:strCache>
            </c:strRef>
          </c:tx>
          <c:spPr>
            <a:solidFill>
              <a:schemeClr val="accent4"/>
            </a:solidFill>
            <a:ln>
              <a:noFill/>
            </a:ln>
            <a:effectLst/>
          </c:spPr>
          <c:invertIfNegative val="0"/>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Hoja1!$EM$6:$EM$28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9AE1-4664-8741-3B47A35B094E}"/>
            </c:ext>
          </c:extLst>
        </c:ser>
        <c:ser>
          <c:idx val="0"/>
          <c:order val="3"/>
          <c:tx>
            <c:strRef>
              <c:f>Hoja1!$EN$5</c:f>
              <c:strCache>
                <c:ptCount val="1"/>
                <c:pt idx="0">
                  <c:v>L3</c:v>
                </c:pt>
              </c:strCache>
            </c:strRef>
          </c:tx>
          <c:spPr>
            <a:solidFill>
              <a:schemeClr val="accent1"/>
            </a:solidFill>
            <a:ln>
              <a:noFill/>
            </a:ln>
            <a:effectLst/>
          </c:spPr>
          <c:invertIfNegative val="0"/>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Hoja1!$EN$6:$EN$28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2-9AE1-4664-8741-3B47A35B094E}"/>
            </c:ext>
          </c:extLst>
        </c:ser>
        <c:dLbls>
          <c:showLegendKey val="0"/>
          <c:showVal val="0"/>
          <c:showCatName val="0"/>
          <c:showSerName val="0"/>
          <c:showPercent val="0"/>
          <c:showBubbleSize val="0"/>
        </c:dLbls>
        <c:gapWidth val="219"/>
        <c:axId val="1548898640"/>
        <c:axId val="1548900560"/>
      </c:barChart>
      <c:lineChart>
        <c:grouping val="standard"/>
        <c:varyColors val="0"/>
        <c:ser>
          <c:idx val="1"/>
          <c:order val="0"/>
          <c:tx>
            <c:strRef>
              <c:f>Hoja1!$EK$5</c:f>
              <c:strCache>
                <c:ptCount val="1"/>
                <c:pt idx="0">
                  <c:v>In</c:v>
                </c:pt>
              </c:strCache>
            </c:strRef>
          </c:tx>
          <c:spPr>
            <a:ln w="28575" cap="rnd">
              <a:solidFill>
                <a:schemeClr val="accent2"/>
              </a:solidFill>
              <a:round/>
            </a:ln>
            <a:effectLst/>
          </c:spPr>
          <c:marker>
            <c:symbol val="none"/>
          </c:marker>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Hoja1!$EK$6:$EK$28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3-9AE1-4664-8741-3B47A35B094E}"/>
            </c:ext>
          </c:extLst>
        </c:ser>
        <c:dLbls>
          <c:showLegendKey val="0"/>
          <c:showVal val="0"/>
          <c:showCatName val="0"/>
          <c:showSerName val="0"/>
          <c:showPercent val="0"/>
          <c:showBubbleSize val="0"/>
        </c:dLbls>
        <c:marker val="1"/>
        <c:smooth val="0"/>
        <c:axId val="1548898640"/>
        <c:axId val="1548900560"/>
      </c:lineChart>
      <c:catAx>
        <c:axId val="154889864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Equipos eléctricos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548900560"/>
        <c:crosses val="autoZero"/>
        <c:auto val="1"/>
        <c:lblAlgn val="ctr"/>
        <c:lblOffset val="100"/>
        <c:noMultiLvlLbl val="0"/>
      </c:catAx>
      <c:valAx>
        <c:axId val="15489005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 de balance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5488986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Balance de corriente entre fases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barChart>
        <c:barDir val="col"/>
        <c:grouping val="clustered"/>
        <c:varyColors val="0"/>
        <c:ser>
          <c:idx val="0"/>
          <c:order val="0"/>
          <c:tx>
            <c:strRef>
              <c:f>Hoja1!$EF$5</c:f>
              <c:strCache>
                <c:ptCount val="1"/>
                <c:pt idx="0">
                  <c:v>L1/L2</c:v>
                </c:pt>
              </c:strCache>
            </c:strRef>
          </c:tx>
          <c:spPr>
            <a:solidFill>
              <a:srgbClr val="FFC000"/>
            </a:solidFill>
            <a:ln>
              <a:noFill/>
            </a:ln>
            <a:effectLst/>
          </c:spPr>
          <c:invertIfNegative val="0"/>
          <c:cat>
            <c:strRef>
              <c:f>Hoja1!$EE$6:$EE$28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Hoja1!$EF$6:$EF$28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E829-4980-84D7-0D81FB93F88D}"/>
            </c:ext>
          </c:extLst>
        </c:ser>
        <c:ser>
          <c:idx val="1"/>
          <c:order val="1"/>
          <c:tx>
            <c:strRef>
              <c:f>Hoja1!$EG$5</c:f>
              <c:strCache>
                <c:ptCount val="1"/>
                <c:pt idx="0">
                  <c:v>L2/L3 </c:v>
                </c:pt>
              </c:strCache>
            </c:strRef>
          </c:tx>
          <c:spPr>
            <a:solidFill>
              <a:srgbClr val="00B050"/>
            </a:solidFill>
            <a:ln>
              <a:noFill/>
            </a:ln>
            <a:effectLst/>
          </c:spPr>
          <c:invertIfNegative val="0"/>
          <c:cat>
            <c:strRef>
              <c:f>Hoja1!$EE$6:$EE$28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Hoja1!$EG$6:$EG$28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E829-4980-84D7-0D81FB93F88D}"/>
            </c:ext>
          </c:extLst>
        </c:ser>
        <c:ser>
          <c:idx val="2"/>
          <c:order val="2"/>
          <c:tx>
            <c:strRef>
              <c:f>Hoja1!$EH$5</c:f>
              <c:strCache>
                <c:ptCount val="1"/>
                <c:pt idx="0">
                  <c:v>L3/L1</c:v>
                </c:pt>
              </c:strCache>
            </c:strRef>
          </c:tx>
          <c:spPr>
            <a:solidFill>
              <a:schemeClr val="accent1">
                <a:lumMod val="75000"/>
              </a:schemeClr>
            </a:solidFill>
            <a:ln>
              <a:noFill/>
            </a:ln>
            <a:effectLst/>
          </c:spPr>
          <c:invertIfNegative val="0"/>
          <c:cat>
            <c:strRef>
              <c:f>Hoja1!$EE$6:$EE$28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Hoja1!$EH$6:$EH$28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2-E829-4980-84D7-0D81FB93F88D}"/>
            </c:ext>
          </c:extLst>
        </c:ser>
        <c:dLbls>
          <c:showLegendKey val="0"/>
          <c:showVal val="0"/>
          <c:showCatName val="0"/>
          <c:showSerName val="0"/>
          <c:showPercent val="0"/>
          <c:showBubbleSize val="0"/>
        </c:dLbls>
        <c:gapWidth val="101"/>
        <c:axId val="933337055"/>
        <c:axId val="933338495"/>
      </c:barChart>
      <c:lineChart>
        <c:grouping val="standard"/>
        <c:varyColors val="0"/>
        <c:ser>
          <c:idx val="3"/>
          <c:order val="3"/>
          <c:tx>
            <c:strRef>
              <c:f>Hoja1!$EI$5</c:f>
              <c:strCache>
                <c:ptCount val="1"/>
                <c:pt idx="0">
                  <c:v>Fase Balanceada</c:v>
                </c:pt>
              </c:strCache>
            </c:strRef>
          </c:tx>
          <c:spPr>
            <a:ln w="28575" cap="rnd">
              <a:solidFill>
                <a:srgbClr val="FF0000"/>
              </a:solidFill>
              <a:round/>
            </a:ln>
            <a:effectLst/>
          </c:spPr>
          <c:marker>
            <c:symbol val="none"/>
          </c:marker>
          <c:cat>
            <c:strRef>
              <c:f>Hoja1!$EE$6:$EE$28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Hoja1!$EI$6:$EI$28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3-E829-4980-84D7-0D81FB93F88D}"/>
            </c:ext>
          </c:extLst>
        </c:ser>
        <c:dLbls>
          <c:showLegendKey val="0"/>
          <c:showVal val="0"/>
          <c:showCatName val="0"/>
          <c:showSerName val="0"/>
          <c:showPercent val="0"/>
          <c:showBubbleSize val="0"/>
        </c:dLbls>
        <c:marker val="1"/>
        <c:smooth val="0"/>
        <c:axId val="933337055"/>
        <c:axId val="933338495"/>
      </c:lineChart>
      <c:catAx>
        <c:axId val="93333705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Equipos eléctricos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33338495"/>
        <c:crosses val="autoZero"/>
        <c:auto val="1"/>
        <c:lblAlgn val="ctr"/>
        <c:lblOffset val="100"/>
        <c:noMultiLvlLbl val="0"/>
      </c:catAx>
      <c:valAx>
        <c:axId val="93333849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 de balance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333370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image" Target="../media/image3.png"/><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image" Target="../media/image2.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image" Target="../media/image1.jpeg"/><Relationship Id="rId5" Type="http://schemas.openxmlformats.org/officeDocument/2006/relationships/chart" Target="../charts/chart5.xml"/><Relationship Id="rId15" Type="http://schemas.openxmlformats.org/officeDocument/2006/relationships/chart" Target="../charts/chart12.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chart" Target="../charts/chart14.xml"/><Relationship Id="rId1" Type="http://schemas.openxmlformats.org/officeDocument/2006/relationships/chart" Target="../charts/chart13.xml"/></Relationships>
</file>

<file path=xl/drawings/_rels/drawing3.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4.xml"/><Relationship Id="rId13" Type="http://schemas.openxmlformats.org/officeDocument/2006/relationships/chart" Target="../charts/chart29.xml"/><Relationship Id="rId3" Type="http://schemas.openxmlformats.org/officeDocument/2006/relationships/chart" Target="../charts/chart19.xml"/><Relationship Id="rId7" Type="http://schemas.openxmlformats.org/officeDocument/2006/relationships/chart" Target="../charts/chart23.xml"/><Relationship Id="rId12" Type="http://schemas.openxmlformats.org/officeDocument/2006/relationships/chart" Target="../charts/chart28.xml"/><Relationship Id="rId2" Type="http://schemas.openxmlformats.org/officeDocument/2006/relationships/chart" Target="../charts/chart18.xml"/><Relationship Id="rId1" Type="http://schemas.openxmlformats.org/officeDocument/2006/relationships/chart" Target="../charts/chart17.xml"/><Relationship Id="rId6" Type="http://schemas.openxmlformats.org/officeDocument/2006/relationships/chart" Target="../charts/chart22.xml"/><Relationship Id="rId11" Type="http://schemas.openxmlformats.org/officeDocument/2006/relationships/chart" Target="../charts/chart27.xml"/><Relationship Id="rId5" Type="http://schemas.openxmlformats.org/officeDocument/2006/relationships/chart" Target="../charts/chart21.xml"/><Relationship Id="rId15" Type="http://schemas.openxmlformats.org/officeDocument/2006/relationships/chart" Target="../charts/chart31.xml"/><Relationship Id="rId10" Type="http://schemas.openxmlformats.org/officeDocument/2006/relationships/chart" Target="../charts/chart26.xml"/><Relationship Id="rId4" Type="http://schemas.openxmlformats.org/officeDocument/2006/relationships/chart" Target="../charts/chart20.xml"/><Relationship Id="rId9" Type="http://schemas.openxmlformats.org/officeDocument/2006/relationships/chart" Target="../charts/chart25.xml"/><Relationship Id="rId14" Type="http://schemas.openxmlformats.org/officeDocument/2006/relationships/chart" Target="../charts/chart30.xml"/></Relationships>
</file>

<file path=xl/drawings/drawing1.xml><?xml version="1.0" encoding="utf-8"?>
<xdr:wsDr xmlns:xdr="http://schemas.openxmlformats.org/drawingml/2006/spreadsheetDrawing" xmlns:a="http://schemas.openxmlformats.org/drawingml/2006/main">
  <xdr:twoCellAnchor>
    <xdr:from>
      <xdr:col>0</xdr:col>
      <xdr:colOff>6350</xdr:colOff>
      <xdr:row>0</xdr:row>
      <xdr:rowOff>6350</xdr:rowOff>
    </xdr:from>
    <xdr:to>
      <xdr:col>6</xdr:col>
      <xdr:colOff>781050</xdr:colOff>
      <xdr:row>4</xdr:row>
      <xdr:rowOff>0</xdr:rowOff>
    </xdr:to>
    <xdr:sp macro="" textlink="">
      <xdr:nvSpPr>
        <xdr:cNvPr id="3" name="Rectángulo 2">
          <a:extLst>
            <a:ext uri="{FF2B5EF4-FFF2-40B4-BE49-F238E27FC236}">
              <a16:creationId xmlns:a16="http://schemas.microsoft.com/office/drawing/2014/main" id="{A389F211-61F0-45E4-BE80-030C10BA4C00}"/>
            </a:ext>
          </a:extLst>
        </xdr:cNvPr>
        <xdr:cNvSpPr/>
      </xdr:nvSpPr>
      <xdr:spPr>
        <a:xfrm>
          <a:off x="6350" y="6350"/>
          <a:ext cx="5803900" cy="7048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14</xdr:col>
      <xdr:colOff>6684</xdr:colOff>
      <xdr:row>16</xdr:row>
      <xdr:rowOff>164352</xdr:rowOff>
    </xdr:from>
    <xdr:to>
      <xdr:col>17</xdr:col>
      <xdr:colOff>508000</xdr:colOff>
      <xdr:row>31</xdr:row>
      <xdr:rowOff>0</xdr:rowOff>
    </xdr:to>
    <xdr:graphicFrame macro="">
      <xdr:nvGraphicFramePr>
        <xdr:cNvPr id="7" name="Gráfico 6">
          <a:extLst>
            <a:ext uri="{FF2B5EF4-FFF2-40B4-BE49-F238E27FC236}">
              <a16:creationId xmlns:a16="http://schemas.microsoft.com/office/drawing/2014/main" id="{FCBF535B-F5B9-4470-91D6-94307A95F9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547689</xdr:colOff>
      <xdr:row>16</xdr:row>
      <xdr:rowOff>166687</xdr:rowOff>
    </xdr:from>
    <xdr:to>
      <xdr:col>20</xdr:col>
      <xdr:colOff>817563</xdr:colOff>
      <xdr:row>31</xdr:row>
      <xdr:rowOff>7938</xdr:rowOff>
    </xdr:to>
    <xdr:graphicFrame macro="">
      <xdr:nvGraphicFramePr>
        <xdr:cNvPr id="10" name="Gráfico 9">
          <a:extLst>
            <a:ext uri="{FF2B5EF4-FFF2-40B4-BE49-F238E27FC236}">
              <a16:creationId xmlns:a16="http://schemas.microsoft.com/office/drawing/2014/main" id="{A12975A8-4500-4D56-85AC-7AC7B30152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17</xdr:row>
      <xdr:rowOff>30238</xdr:rowOff>
    </xdr:from>
    <xdr:to>
      <xdr:col>6</xdr:col>
      <xdr:colOff>827617</xdr:colOff>
      <xdr:row>32</xdr:row>
      <xdr:rowOff>75595</xdr:rowOff>
    </xdr:to>
    <xdr:graphicFrame macro="">
      <xdr:nvGraphicFramePr>
        <xdr:cNvPr id="14" name="Gráfico 13">
          <a:extLst>
            <a:ext uri="{FF2B5EF4-FFF2-40B4-BE49-F238E27FC236}">
              <a16:creationId xmlns:a16="http://schemas.microsoft.com/office/drawing/2014/main" id="{5C07E51F-BA06-48F1-87CF-7E2AF9E6C6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32</xdr:row>
      <xdr:rowOff>151190</xdr:rowOff>
    </xdr:from>
    <xdr:to>
      <xdr:col>6</xdr:col>
      <xdr:colOff>808869</xdr:colOff>
      <xdr:row>46</xdr:row>
      <xdr:rowOff>83154</xdr:rowOff>
    </xdr:to>
    <xdr:graphicFrame macro="">
      <xdr:nvGraphicFramePr>
        <xdr:cNvPr id="19" name="Gráfico 18">
          <a:extLst>
            <a:ext uri="{FF2B5EF4-FFF2-40B4-BE49-F238E27FC236}">
              <a16:creationId xmlns:a16="http://schemas.microsoft.com/office/drawing/2014/main" id="{4F0003BD-5F47-488B-95FB-862F5888CB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37798</xdr:colOff>
      <xdr:row>1</xdr:row>
      <xdr:rowOff>15119</xdr:rowOff>
    </xdr:from>
    <xdr:to>
      <xdr:col>13</xdr:col>
      <xdr:colOff>1141489</xdr:colOff>
      <xdr:row>14</xdr:row>
      <xdr:rowOff>90714</xdr:rowOff>
    </xdr:to>
    <xdr:graphicFrame macro="">
      <xdr:nvGraphicFramePr>
        <xdr:cNvPr id="22" name="Gráfico 21">
          <a:extLst>
            <a:ext uri="{FF2B5EF4-FFF2-40B4-BE49-F238E27FC236}">
              <a16:creationId xmlns:a16="http://schemas.microsoft.com/office/drawing/2014/main" id="{07FA5B40-CFF9-4365-82D9-5401754D8A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15119</xdr:colOff>
      <xdr:row>15</xdr:row>
      <xdr:rowOff>52917</xdr:rowOff>
    </xdr:from>
    <xdr:to>
      <xdr:col>13</xdr:col>
      <xdr:colOff>1126370</xdr:colOff>
      <xdr:row>30</xdr:row>
      <xdr:rowOff>42938</xdr:rowOff>
    </xdr:to>
    <xdr:graphicFrame macro="">
      <xdr:nvGraphicFramePr>
        <xdr:cNvPr id="23" name="Gráfico 22">
          <a:extLst>
            <a:ext uri="{FF2B5EF4-FFF2-40B4-BE49-F238E27FC236}">
              <a16:creationId xmlns:a16="http://schemas.microsoft.com/office/drawing/2014/main" id="{2AF507FD-68DE-4363-B703-9AA94A9BA4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7560</xdr:colOff>
      <xdr:row>30</xdr:row>
      <xdr:rowOff>128511</xdr:rowOff>
    </xdr:from>
    <xdr:to>
      <xdr:col>13</xdr:col>
      <xdr:colOff>1141489</xdr:colOff>
      <xdr:row>45</xdr:row>
      <xdr:rowOff>118533</xdr:rowOff>
    </xdr:to>
    <xdr:graphicFrame macro="">
      <xdr:nvGraphicFramePr>
        <xdr:cNvPr id="24" name="Gráfico 23">
          <a:extLst>
            <a:ext uri="{FF2B5EF4-FFF2-40B4-BE49-F238E27FC236}">
              <a16:creationId xmlns:a16="http://schemas.microsoft.com/office/drawing/2014/main" id="{2E8526C6-4C19-42A9-8F81-FD5FDB66E9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21</xdr:col>
      <xdr:colOff>19539</xdr:colOff>
      <xdr:row>26</xdr:row>
      <xdr:rowOff>29306</xdr:rowOff>
    </xdr:from>
    <xdr:to>
      <xdr:col>27</xdr:col>
      <xdr:colOff>722923</xdr:colOff>
      <xdr:row>46</xdr:row>
      <xdr:rowOff>48846</xdr:rowOff>
    </xdr:to>
    <xdr:graphicFrame macro="">
      <xdr:nvGraphicFramePr>
        <xdr:cNvPr id="27" name="Gráfico 26">
          <a:extLst>
            <a:ext uri="{FF2B5EF4-FFF2-40B4-BE49-F238E27FC236}">
              <a16:creationId xmlns:a16="http://schemas.microsoft.com/office/drawing/2014/main" id="{BDBED0E3-73DD-4D3A-BAE1-CC605DD96B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28</xdr:col>
      <xdr:colOff>25645</xdr:colOff>
      <xdr:row>0</xdr:row>
      <xdr:rowOff>0</xdr:rowOff>
    </xdr:from>
    <xdr:to>
      <xdr:col>34</xdr:col>
      <xdr:colOff>816952</xdr:colOff>
      <xdr:row>13</xdr:row>
      <xdr:rowOff>261938</xdr:rowOff>
    </xdr:to>
    <xdr:graphicFrame macro="">
      <xdr:nvGraphicFramePr>
        <xdr:cNvPr id="28" name="Gráfico 27">
          <a:extLst>
            <a:ext uri="{FF2B5EF4-FFF2-40B4-BE49-F238E27FC236}">
              <a16:creationId xmlns:a16="http://schemas.microsoft.com/office/drawing/2014/main" id="{2DC08C40-99CD-4F80-B189-C9F76B1BD6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35</xdr:col>
      <xdr:colOff>48844</xdr:colOff>
      <xdr:row>0</xdr:row>
      <xdr:rowOff>107462</xdr:rowOff>
    </xdr:from>
    <xdr:to>
      <xdr:col>41</xdr:col>
      <xdr:colOff>806349</xdr:colOff>
      <xdr:row>19</xdr:row>
      <xdr:rowOff>166077</xdr:rowOff>
    </xdr:to>
    <xdr:graphicFrame macro="">
      <xdr:nvGraphicFramePr>
        <xdr:cNvPr id="29" name="Gráfico 28">
          <a:extLst>
            <a:ext uri="{FF2B5EF4-FFF2-40B4-BE49-F238E27FC236}">
              <a16:creationId xmlns:a16="http://schemas.microsoft.com/office/drawing/2014/main" id="{6D11ED4C-FA17-4455-8470-3896C69435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4</xdr:col>
      <xdr:colOff>762747</xdr:colOff>
      <xdr:row>0</xdr:row>
      <xdr:rowOff>71719</xdr:rowOff>
    </xdr:from>
    <xdr:to>
      <xdr:col>6</xdr:col>
      <xdr:colOff>637988</xdr:colOff>
      <xdr:row>3</xdr:row>
      <xdr:rowOff>115056</xdr:rowOff>
    </xdr:to>
    <xdr:pic>
      <xdr:nvPicPr>
        <xdr:cNvPr id="6" name="Imagen 5" descr="Un dibujo animado con letras&#10;&#10;Descripción generada automáticamente con confianza media">
          <a:extLst>
            <a:ext uri="{FF2B5EF4-FFF2-40B4-BE49-F238E27FC236}">
              <a16:creationId xmlns:a16="http://schemas.microsoft.com/office/drawing/2014/main" id="{0D707602-CA89-4398-952F-32C663E68D96}"/>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4423335" y="71719"/>
          <a:ext cx="1515782" cy="575616"/>
        </a:xfrm>
        <a:prstGeom prst="rect">
          <a:avLst/>
        </a:prstGeom>
      </xdr:spPr>
    </xdr:pic>
    <xdr:clientData/>
  </xdr:twoCellAnchor>
  <xdr:twoCellAnchor editAs="oneCell">
    <xdr:from>
      <xdr:col>0</xdr:col>
      <xdr:colOff>183776</xdr:colOff>
      <xdr:row>0</xdr:row>
      <xdr:rowOff>65369</xdr:rowOff>
    </xdr:from>
    <xdr:to>
      <xdr:col>2</xdr:col>
      <xdr:colOff>292474</xdr:colOff>
      <xdr:row>3</xdr:row>
      <xdr:rowOff>45274</xdr:rowOff>
    </xdr:to>
    <xdr:pic>
      <xdr:nvPicPr>
        <xdr:cNvPr id="8" name="Picture 2" descr="Aceptan renuncia de Director de la Dirección de Cooperativas e ...">
          <a:extLst>
            <a:ext uri="{FF2B5EF4-FFF2-40B4-BE49-F238E27FC236}">
              <a16:creationId xmlns:a16="http://schemas.microsoft.com/office/drawing/2014/main" id="{B80057C1-3EFB-F052-FCF7-8E0E6A768EC5}"/>
            </a:ext>
          </a:extLst>
        </xdr:cNvPr>
        <xdr:cNvPicPr>
          <a:picLocks noChangeAspect="1" noChangeArrowheads="1"/>
        </xdr:cNvPicPr>
      </xdr:nvPicPr>
      <xdr:blipFill rotWithShape="1">
        <a:blip xmlns:r="http://schemas.openxmlformats.org/officeDocument/2006/relationships" r:embed="rId12" cstate="print">
          <a:extLst>
            <a:ext uri="{28A0092B-C50C-407E-A947-70E740481C1C}">
              <a14:useLocalDpi xmlns:a14="http://schemas.microsoft.com/office/drawing/2010/main" val="0"/>
            </a:ext>
          </a:extLst>
        </a:blip>
        <a:srcRect t="24882" b="26048"/>
        <a:stretch/>
      </xdr:blipFill>
      <xdr:spPr bwMode="auto">
        <a:xfrm>
          <a:off x="183776" y="65369"/>
          <a:ext cx="2113430" cy="5185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681692</xdr:colOff>
      <xdr:row>0</xdr:row>
      <xdr:rowOff>56029</xdr:rowOff>
    </xdr:from>
    <xdr:to>
      <xdr:col>4</xdr:col>
      <xdr:colOff>345515</xdr:colOff>
      <xdr:row>3</xdr:row>
      <xdr:rowOff>116973</xdr:rowOff>
    </xdr:to>
    <xdr:pic>
      <xdr:nvPicPr>
        <xdr:cNvPr id="9" name="Imagen 8">
          <a:extLst>
            <a:ext uri="{FF2B5EF4-FFF2-40B4-BE49-F238E27FC236}">
              <a16:creationId xmlns:a16="http://schemas.microsoft.com/office/drawing/2014/main" id="{E960D27B-5F05-4B9E-0E92-A398D11D1501}"/>
            </a:ext>
          </a:extLst>
        </xdr:cNvPr>
        <xdr:cNvPicPr>
          <a:picLocks noChangeAspect="1"/>
        </xdr:cNvPicPr>
      </xdr:nvPicPr>
      <xdr:blipFill rotWithShape="1">
        <a:blip xmlns:r="http://schemas.openxmlformats.org/officeDocument/2006/relationships" r:embed="rId13"/>
        <a:srcRect l="9188" t="11496" r="10248" b="19529"/>
        <a:stretch/>
      </xdr:blipFill>
      <xdr:spPr>
        <a:xfrm>
          <a:off x="2680074" y="56029"/>
          <a:ext cx="1326029" cy="593223"/>
        </a:xfrm>
        <a:prstGeom prst="rect">
          <a:avLst/>
        </a:prstGeom>
      </xdr:spPr>
    </xdr:pic>
    <xdr:clientData/>
  </xdr:twoCellAnchor>
  <xdr:twoCellAnchor>
    <xdr:from>
      <xdr:col>14</xdr:col>
      <xdr:colOff>32563</xdr:colOff>
      <xdr:row>0</xdr:row>
      <xdr:rowOff>56987</xdr:rowOff>
    </xdr:from>
    <xdr:to>
      <xdr:col>20</xdr:col>
      <xdr:colOff>797821</xdr:colOff>
      <xdr:row>13</xdr:row>
      <xdr:rowOff>440104</xdr:rowOff>
    </xdr:to>
    <xdr:graphicFrame macro="">
      <xdr:nvGraphicFramePr>
        <xdr:cNvPr id="4" name="Gráfico 3">
          <a:extLst>
            <a:ext uri="{FF2B5EF4-FFF2-40B4-BE49-F238E27FC236}">
              <a16:creationId xmlns:a16="http://schemas.microsoft.com/office/drawing/2014/main" id="{E3C282E6-A8DB-4F9E-B95E-41497A86E9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28</xdr:col>
      <xdr:colOff>23811</xdr:colOff>
      <xdr:row>13</xdr:row>
      <xdr:rowOff>285750</xdr:rowOff>
    </xdr:from>
    <xdr:to>
      <xdr:col>34</xdr:col>
      <xdr:colOff>849311</xdr:colOff>
      <xdr:row>27</xdr:row>
      <xdr:rowOff>97367</xdr:rowOff>
    </xdr:to>
    <xdr:graphicFrame macro="">
      <xdr:nvGraphicFramePr>
        <xdr:cNvPr id="2" name="Gráfico 1">
          <a:extLst>
            <a:ext uri="{FF2B5EF4-FFF2-40B4-BE49-F238E27FC236}">
              <a16:creationId xmlns:a16="http://schemas.microsoft.com/office/drawing/2014/main" id="{3F973A33-DDFD-47F1-863F-BA39F69B6D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25400</xdr:colOff>
      <xdr:row>13</xdr:row>
      <xdr:rowOff>76200</xdr:rowOff>
    </xdr:to>
    <xdr:graphicFrame macro="">
      <xdr:nvGraphicFramePr>
        <xdr:cNvPr id="3" name="Gráfico 2">
          <a:extLst>
            <a:ext uri="{FF2B5EF4-FFF2-40B4-BE49-F238E27FC236}">
              <a16:creationId xmlns:a16="http://schemas.microsoft.com/office/drawing/2014/main" id="{F24CA50A-F0E1-41FC-90FD-933F2E1AD2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13</xdr:row>
      <xdr:rowOff>146050</xdr:rowOff>
    </xdr:from>
    <xdr:to>
      <xdr:col>6</xdr:col>
      <xdr:colOff>19050</xdr:colOff>
      <xdr:row>27</xdr:row>
      <xdr:rowOff>50800</xdr:rowOff>
    </xdr:to>
    <xdr:graphicFrame macro="">
      <xdr:nvGraphicFramePr>
        <xdr:cNvPr id="4" name="Gráfico 3">
          <a:extLst>
            <a:ext uri="{FF2B5EF4-FFF2-40B4-BE49-F238E27FC236}">
              <a16:creationId xmlns:a16="http://schemas.microsoft.com/office/drawing/2014/main" id="{9BCB0763-4FBA-4B39-BE02-31406F5406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679450</xdr:colOff>
      <xdr:row>1</xdr:row>
      <xdr:rowOff>50800</xdr:rowOff>
    </xdr:from>
    <xdr:to>
      <xdr:col>10</xdr:col>
      <xdr:colOff>79145</xdr:colOff>
      <xdr:row>2</xdr:row>
      <xdr:rowOff>165064</xdr:rowOff>
    </xdr:to>
    <xdr:pic>
      <xdr:nvPicPr>
        <xdr:cNvPr id="5" name="Imagen 4">
          <a:extLst>
            <a:ext uri="{FF2B5EF4-FFF2-40B4-BE49-F238E27FC236}">
              <a16:creationId xmlns:a16="http://schemas.microsoft.com/office/drawing/2014/main" id="{3FE70941-D43D-D24A-AC4D-BE0A8B17C20D}"/>
            </a:ext>
          </a:extLst>
        </xdr:cNvPr>
        <xdr:cNvPicPr>
          <a:picLocks noChangeAspect="1"/>
        </xdr:cNvPicPr>
      </xdr:nvPicPr>
      <xdr:blipFill>
        <a:blip xmlns:r="http://schemas.openxmlformats.org/officeDocument/2006/relationships" r:embed="rId3"/>
        <a:stretch>
          <a:fillRect/>
        </a:stretch>
      </xdr:blipFill>
      <xdr:spPr>
        <a:xfrm>
          <a:off x="6369050" y="228600"/>
          <a:ext cx="1838095" cy="285714"/>
        </a:xfrm>
        <a:prstGeom prst="rect">
          <a:avLst/>
        </a:prstGeom>
        <a:ln>
          <a:solidFill>
            <a:schemeClr val="accent1"/>
          </a:solidFill>
        </a:ln>
      </xdr:spPr>
    </xdr:pic>
    <xdr:clientData/>
  </xdr:twoCellAnchor>
  <xdr:twoCellAnchor>
    <xdr:from>
      <xdr:col>8</xdr:col>
      <xdr:colOff>323850</xdr:colOff>
      <xdr:row>2</xdr:row>
      <xdr:rowOff>101600</xdr:rowOff>
    </xdr:from>
    <xdr:to>
      <xdr:col>8</xdr:col>
      <xdr:colOff>482600</xdr:colOff>
      <xdr:row>4</xdr:row>
      <xdr:rowOff>133350</xdr:rowOff>
    </xdr:to>
    <xdr:cxnSp macro="">
      <xdr:nvCxnSpPr>
        <xdr:cNvPr id="7" name="Conector recto de flecha 6">
          <a:extLst>
            <a:ext uri="{FF2B5EF4-FFF2-40B4-BE49-F238E27FC236}">
              <a16:creationId xmlns:a16="http://schemas.microsoft.com/office/drawing/2014/main" id="{42D0A3AA-34C7-CFA0-8488-6530961E8CC3}"/>
            </a:ext>
          </a:extLst>
        </xdr:cNvPr>
        <xdr:cNvCxnSpPr/>
      </xdr:nvCxnSpPr>
      <xdr:spPr>
        <a:xfrm flipH="1">
          <a:off x="6826250" y="457200"/>
          <a:ext cx="158750" cy="3873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482600</xdr:colOff>
      <xdr:row>2</xdr:row>
      <xdr:rowOff>107950</xdr:rowOff>
    </xdr:from>
    <xdr:to>
      <xdr:col>9</xdr:col>
      <xdr:colOff>508000</xdr:colOff>
      <xdr:row>4</xdr:row>
      <xdr:rowOff>114300</xdr:rowOff>
    </xdr:to>
    <xdr:cxnSp macro="">
      <xdr:nvCxnSpPr>
        <xdr:cNvPr id="8" name="Conector recto de flecha 7">
          <a:extLst>
            <a:ext uri="{FF2B5EF4-FFF2-40B4-BE49-F238E27FC236}">
              <a16:creationId xmlns:a16="http://schemas.microsoft.com/office/drawing/2014/main" id="{410AE732-AC70-403C-AE05-2AA98987BCA6}"/>
            </a:ext>
          </a:extLst>
        </xdr:cNvPr>
        <xdr:cNvCxnSpPr/>
      </xdr:nvCxnSpPr>
      <xdr:spPr>
        <a:xfrm>
          <a:off x="7797800" y="463550"/>
          <a:ext cx="25400" cy="3619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323850</xdr:colOff>
      <xdr:row>7</xdr:row>
      <xdr:rowOff>19050</xdr:rowOff>
    </xdr:from>
    <xdr:to>
      <xdr:col>8</xdr:col>
      <xdr:colOff>323850</xdr:colOff>
      <xdr:row>8</xdr:row>
      <xdr:rowOff>158750</xdr:rowOff>
    </xdr:to>
    <xdr:cxnSp macro="">
      <xdr:nvCxnSpPr>
        <xdr:cNvPr id="10" name="Conector recto de flecha 9">
          <a:extLst>
            <a:ext uri="{FF2B5EF4-FFF2-40B4-BE49-F238E27FC236}">
              <a16:creationId xmlns:a16="http://schemas.microsoft.com/office/drawing/2014/main" id="{1B437F12-C2BA-47F4-BEEB-88C10C0DF3B6}"/>
            </a:ext>
          </a:extLst>
        </xdr:cNvPr>
        <xdr:cNvCxnSpPr/>
      </xdr:nvCxnSpPr>
      <xdr:spPr>
        <a:xfrm>
          <a:off x="6826250" y="1270000"/>
          <a:ext cx="0" cy="3175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444500</xdr:colOff>
      <xdr:row>7</xdr:row>
      <xdr:rowOff>0</xdr:rowOff>
    </xdr:from>
    <xdr:to>
      <xdr:col>9</xdr:col>
      <xdr:colOff>444500</xdr:colOff>
      <xdr:row>8</xdr:row>
      <xdr:rowOff>139700</xdr:rowOff>
    </xdr:to>
    <xdr:cxnSp macro="">
      <xdr:nvCxnSpPr>
        <xdr:cNvPr id="12" name="Conector recto de flecha 11">
          <a:extLst>
            <a:ext uri="{FF2B5EF4-FFF2-40B4-BE49-F238E27FC236}">
              <a16:creationId xmlns:a16="http://schemas.microsoft.com/office/drawing/2014/main" id="{3CDAC807-2A55-4673-99C4-597BD3BD6C2D}"/>
            </a:ext>
          </a:extLst>
        </xdr:cNvPr>
        <xdr:cNvCxnSpPr/>
      </xdr:nvCxnSpPr>
      <xdr:spPr>
        <a:xfrm>
          <a:off x="7759700" y="1250950"/>
          <a:ext cx="0" cy="3175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374650</xdr:colOff>
      <xdr:row>11</xdr:row>
      <xdr:rowOff>12700</xdr:rowOff>
    </xdr:from>
    <xdr:to>
      <xdr:col>9</xdr:col>
      <xdr:colOff>374650</xdr:colOff>
      <xdr:row>12</xdr:row>
      <xdr:rowOff>152400</xdr:rowOff>
    </xdr:to>
    <xdr:cxnSp macro="">
      <xdr:nvCxnSpPr>
        <xdr:cNvPr id="13" name="Conector recto de flecha 12">
          <a:extLst>
            <a:ext uri="{FF2B5EF4-FFF2-40B4-BE49-F238E27FC236}">
              <a16:creationId xmlns:a16="http://schemas.microsoft.com/office/drawing/2014/main" id="{393D3FDC-4614-402F-A6AF-6025DBA66E1B}"/>
            </a:ext>
          </a:extLst>
        </xdr:cNvPr>
        <xdr:cNvCxnSpPr/>
      </xdr:nvCxnSpPr>
      <xdr:spPr>
        <a:xfrm>
          <a:off x="7689850" y="1974850"/>
          <a:ext cx="0" cy="3175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260350</xdr:colOff>
      <xdr:row>10</xdr:row>
      <xdr:rowOff>171450</xdr:rowOff>
    </xdr:from>
    <xdr:to>
      <xdr:col>8</xdr:col>
      <xdr:colOff>260350</xdr:colOff>
      <xdr:row>12</xdr:row>
      <xdr:rowOff>133350</xdr:rowOff>
    </xdr:to>
    <xdr:cxnSp macro="">
      <xdr:nvCxnSpPr>
        <xdr:cNvPr id="14" name="Conector recto de flecha 13">
          <a:extLst>
            <a:ext uri="{FF2B5EF4-FFF2-40B4-BE49-F238E27FC236}">
              <a16:creationId xmlns:a16="http://schemas.microsoft.com/office/drawing/2014/main" id="{DB756BCF-2A1B-48AC-9AEA-44A1B2C0612B}"/>
            </a:ext>
          </a:extLst>
        </xdr:cNvPr>
        <xdr:cNvCxnSpPr/>
      </xdr:nvCxnSpPr>
      <xdr:spPr>
        <a:xfrm>
          <a:off x="6762750" y="1955800"/>
          <a:ext cx="0" cy="3175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165100</xdr:colOff>
      <xdr:row>18</xdr:row>
      <xdr:rowOff>149225</xdr:rowOff>
    </xdr:from>
    <xdr:to>
      <xdr:col>5</xdr:col>
      <xdr:colOff>673100</xdr:colOff>
      <xdr:row>34</xdr:row>
      <xdr:rowOff>47625</xdr:rowOff>
    </xdr:to>
    <xdr:graphicFrame macro="">
      <xdr:nvGraphicFramePr>
        <xdr:cNvPr id="2" name="Gráfico 1">
          <a:extLst>
            <a:ext uri="{FF2B5EF4-FFF2-40B4-BE49-F238E27FC236}">
              <a16:creationId xmlns:a16="http://schemas.microsoft.com/office/drawing/2014/main" id="{F8E2F258-8526-1511-B28E-0A2CF49D7C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592250</xdr:colOff>
      <xdr:row>9</xdr:row>
      <xdr:rowOff>32958</xdr:rowOff>
    </xdr:from>
    <xdr:to>
      <xdr:col>18</xdr:col>
      <xdr:colOff>67436</xdr:colOff>
      <xdr:row>24</xdr:row>
      <xdr:rowOff>110231</xdr:rowOff>
    </xdr:to>
    <xdr:graphicFrame macro="">
      <xdr:nvGraphicFramePr>
        <xdr:cNvPr id="3" name="Gráfico 2">
          <a:extLst>
            <a:ext uri="{FF2B5EF4-FFF2-40B4-BE49-F238E27FC236}">
              <a16:creationId xmlns:a16="http://schemas.microsoft.com/office/drawing/2014/main" id="{100D1016-A1DE-9E78-025F-AB394C5EEA7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33</xdr:col>
      <xdr:colOff>39157</xdr:colOff>
      <xdr:row>18</xdr:row>
      <xdr:rowOff>176211</xdr:rowOff>
    </xdr:from>
    <xdr:to>
      <xdr:col>40</xdr:col>
      <xdr:colOff>572557</xdr:colOff>
      <xdr:row>34</xdr:row>
      <xdr:rowOff>26986</xdr:rowOff>
    </xdr:to>
    <xdr:graphicFrame macro="">
      <xdr:nvGraphicFramePr>
        <xdr:cNvPr id="2" name="Gráfico 1">
          <a:extLst>
            <a:ext uri="{FF2B5EF4-FFF2-40B4-BE49-F238E27FC236}">
              <a16:creationId xmlns:a16="http://schemas.microsoft.com/office/drawing/2014/main" id="{0AFC9EB5-1EC1-E205-B01F-415AA784BE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38</xdr:col>
      <xdr:colOff>781050</xdr:colOff>
      <xdr:row>34</xdr:row>
      <xdr:rowOff>47625</xdr:rowOff>
    </xdr:from>
    <xdr:to>
      <xdr:col>44</xdr:col>
      <xdr:colOff>393700</xdr:colOff>
      <xdr:row>50</xdr:row>
      <xdr:rowOff>123825</xdr:rowOff>
    </xdr:to>
    <xdr:graphicFrame macro="">
      <xdr:nvGraphicFramePr>
        <xdr:cNvPr id="3" name="Gráfico 2">
          <a:extLst>
            <a:ext uri="{FF2B5EF4-FFF2-40B4-BE49-F238E27FC236}">
              <a16:creationId xmlns:a16="http://schemas.microsoft.com/office/drawing/2014/main" id="{5257316F-3FD0-39B4-E6CD-0D38CBC77EB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43</xdr:col>
      <xdr:colOff>667145</xdr:colOff>
      <xdr:row>33</xdr:row>
      <xdr:rowOff>69849</xdr:rowOff>
    </xdr:from>
    <xdr:to>
      <xdr:col>49</xdr:col>
      <xdr:colOff>263524</xdr:colOff>
      <xdr:row>51</xdr:row>
      <xdr:rowOff>8730</xdr:rowOff>
    </xdr:to>
    <xdr:graphicFrame macro="">
      <xdr:nvGraphicFramePr>
        <xdr:cNvPr id="5" name="Gráfico 4">
          <a:extLst>
            <a:ext uri="{FF2B5EF4-FFF2-40B4-BE49-F238E27FC236}">
              <a16:creationId xmlns:a16="http://schemas.microsoft.com/office/drawing/2014/main" id="{5622CF1D-02C8-7AC1-A119-73EB59EFF46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56</xdr:col>
      <xdr:colOff>673100</xdr:colOff>
      <xdr:row>18</xdr:row>
      <xdr:rowOff>92075</xdr:rowOff>
    </xdr:from>
    <xdr:to>
      <xdr:col>62</xdr:col>
      <xdr:colOff>368300</xdr:colOff>
      <xdr:row>32</xdr:row>
      <xdr:rowOff>41275</xdr:rowOff>
    </xdr:to>
    <xdr:graphicFrame macro="">
      <xdr:nvGraphicFramePr>
        <xdr:cNvPr id="6" name="Gráfico 5">
          <a:extLst>
            <a:ext uri="{FF2B5EF4-FFF2-40B4-BE49-F238E27FC236}">
              <a16:creationId xmlns:a16="http://schemas.microsoft.com/office/drawing/2014/main" id="{7C67D21A-38AA-0967-421E-C92AB7B8239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62</xdr:col>
      <xdr:colOff>742950</xdr:colOff>
      <xdr:row>18</xdr:row>
      <xdr:rowOff>114300</xdr:rowOff>
    </xdr:from>
    <xdr:to>
      <xdr:col>68</xdr:col>
      <xdr:colOff>438150</xdr:colOff>
      <xdr:row>32</xdr:row>
      <xdr:rowOff>63500</xdr:rowOff>
    </xdr:to>
    <xdr:graphicFrame macro="">
      <xdr:nvGraphicFramePr>
        <xdr:cNvPr id="7" name="Gráfico 6">
          <a:extLst>
            <a:ext uri="{FF2B5EF4-FFF2-40B4-BE49-F238E27FC236}">
              <a16:creationId xmlns:a16="http://schemas.microsoft.com/office/drawing/2014/main" id="{F6DA886A-05D3-43A4-A617-D214D53A17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68</xdr:col>
      <xdr:colOff>768350</xdr:colOff>
      <xdr:row>18</xdr:row>
      <xdr:rowOff>111125</xdr:rowOff>
    </xdr:from>
    <xdr:to>
      <xdr:col>74</xdr:col>
      <xdr:colOff>463550</xdr:colOff>
      <xdr:row>32</xdr:row>
      <xdr:rowOff>60325</xdr:rowOff>
    </xdr:to>
    <xdr:graphicFrame macro="">
      <xdr:nvGraphicFramePr>
        <xdr:cNvPr id="8" name="Gráfico 7">
          <a:extLst>
            <a:ext uri="{FF2B5EF4-FFF2-40B4-BE49-F238E27FC236}">
              <a16:creationId xmlns:a16="http://schemas.microsoft.com/office/drawing/2014/main" id="{6FB48DD5-27CA-143E-7085-6672DA6764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75</xdr:col>
      <xdr:colOff>285750</xdr:colOff>
      <xdr:row>19</xdr:row>
      <xdr:rowOff>73025</xdr:rowOff>
    </xdr:from>
    <xdr:to>
      <xdr:col>80</xdr:col>
      <xdr:colOff>793750</xdr:colOff>
      <xdr:row>33</xdr:row>
      <xdr:rowOff>22225</xdr:rowOff>
    </xdr:to>
    <xdr:graphicFrame macro="">
      <xdr:nvGraphicFramePr>
        <xdr:cNvPr id="9" name="Gráfico 8">
          <a:extLst>
            <a:ext uri="{FF2B5EF4-FFF2-40B4-BE49-F238E27FC236}">
              <a16:creationId xmlns:a16="http://schemas.microsoft.com/office/drawing/2014/main" id="{D403AFDA-E46F-17F4-C860-F1F2CDD246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78</xdr:col>
      <xdr:colOff>30642</xdr:colOff>
      <xdr:row>36</xdr:row>
      <xdr:rowOff>138087</xdr:rowOff>
    </xdr:from>
    <xdr:to>
      <xdr:col>86</xdr:col>
      <xdr:colOff>408013</xdr:colOff>
      <xdr:row>61</xdr:row>
      <xdr:rowOff>108454</xdr:rowOff>
    </xdr:to>
    <xdr:graphicFrame macro="">
      <xdr:nvGraphicFramePr>
        <xdr:cNvPr id="4" name="Gráfico 3">
          <a:extLst>
            <a:ext uri="{FF2B5EF4-FFF2-40B4-BE49-F238E27FC236}">
              <a16:creationId xmlns:a16="http://schemas.microsoft.com/office/drawing/2014/main" id="{15226884-6768-D09C-8CF2-FC49FB56990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100</xdr:col>
      <xdr:colOff>520920</xdr:colOff>
      <xdr:row>55</xdr:row>
      <xdr:rowOff>149817</xdr:rowOff>
    </xdr:from>
    <xdr:to>
      <xdr:col>107</xdr:col>
      <xdr:colOff>745909</xdr:colOff>
      <xdr:row>79</xdr:row>
      <xdr:rowOff>110141</xdr:rowOff>
    </xdr:to>
    <xdr:graphicFrame macro="">
      <xdr:nvGraphicFramePr>
        <xdr:cNvPr id="10" name="Gráfico 9">
          <a:extLst>
            <a:ext uri="{FF2B5EF4-FFF2-40B4-BE49-F238E27FC236}">
              <a16:creationId xmlns:a16="http://schemas.microsoft.com/office/drawing/2014/main" id="{26FE8E5C-6453-4742-98A6-85C64AB6D0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122</xdr:col>
      <xdr:colOff>524310</xdr:colOff>
      <xdr:row>31</xdr:row>
      <xdr:rowOff>1027</xdr:rowOff>
    </xdr:from>
    <xdr:to>
      <xdr:col>128</xdr:col>
      <xdr:colOff>247219</xdr:colOff>
      <xdr:row>46</xdr:row>
      <xdr:rowOff>112595</xdr:rowOff>
    </xdr:to>
    <xdr:graphicFrame macro="">
      <xdr:nvGraphicFramePr>
        <xdr:cNvPr id="11" name="Gráfico 10">
          <a:extLst>
            <a:ext uri="{FF2B5EF4-FFF2-40B4-BE49-F238E27FC236}">
              <a16:creationId xmlns:a16="http://schemas.microsoft.com/office/drawing/2014/main" id="{93B0BE5E-C202-A74F-E2CE-889899C30B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128</xdr:col>
      <xdr:colOff>804243</xdr:colOff>
      <xdr:row>33</xdr:row>
      <xdr:rowOff>48564</xdr:rowOff>
    </xdr:from>
    <xdr:to>
      <xdr:col>135</xdr:col>
      <xdr:colOff>234117</xdr:colOff>
      <xdr:row>50</xdr:row>
      <xdr:rowOff>40666</xdr:rowOff>
    </xdr:to>
    <xdr:graphicFrame macro="">
      <xdr:nvGraphicFramePr>
        <xdr:cNvPr id="12" name="Gráfico 11">
          <a:extLst>
            <a:ext uri="{FF2B5EF4-FFF2-40B4-BE49-F238E27FC236}">
              <a16:creationId xmlns:a16="http://schemas.microsoft.com/office/drawing/2014/main" id="{29E7F075-5AFE-755D-F370-83043FFE59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136</xdr:col>
      <xdr:colOff>226054</xdr:colOff>
      <xdr:row>33</xdr:row>
      <xdr:rowOff>21645</xdr:rowOff>
    </xdr:from>
    <xdr:to>
      <xdr:col>141</xdr:col>
      <xdr:colOff>765392</xdr:colOff>
      <xdr:row>48</xdr:row>
      <xdr:rowOff>133214</xdr:rowOff>
    </xdr:to>
    <xdr:graphicFrame macro="">
      <xdr:nvGraphicFramePr>
        <xdr:cNvPr id="13" name="Gráfico 12">
          <a:extLst>
            <a:ext uri="{FF2B5EF4-FFF2-40B4-BE49-F238E27FC236}">
              <a16:creationId xmlns:a16="http://schemas.microsoft.com/office/drawing/2014/main" id="{A6BD11AB-0E13-8E46-1B47-F78BEE4BA33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142</xdr:col>
      <xdr:colOff>330970</xdr:colOff>
      <xdr:row>34</xdr:row>
      <xdr:rowOff>11106</xdr:rowOff>
    </xdr:from>
    <xdr:to>
      <xdr:col>148</xdr:col>
      <xdr:colOff>45633</xdr:colOff>
      <xdr:row>50</xdr:row>
      <xdr:rowOff>122675</xdr:rowOff>
    </xdr:to>
    <xdr:graphicFrame macro="">
      <xdr:nvGraphicFramePr>
        <xdr:cNvPr id="14" name="Gráfico 13">
          <a:extLst>
            <a:ext uri="{FF2B5EF4-FFF2-40B4-BE49-F238E27FC236}">
              <a16:creationId xmlns:a16="http://schemas.microsoft.com/office/drawing/2014/main" id="{5B9F52FE-B2B5-041C-F7FF-6193230E4F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47</xdr:col>
      <xdr:colOff>744140</xdr:colOff>
      <xdr:row>51</xdr:row>
      <xdr:rowOff>115688</xdr:rowOff>
    </xdr:from>
    <xdr:to>
      <xdr:col>53</xdr:col>
      <xdr:colOff>46830</xdr:colOff>
      <xdr:row>69</xdr:row>
      <xdr:rowOff>10715</xdr:rowOff>
    </xdr:to>
    <xdr:graphicFrame macro="">
      <xdr:nvGraphicFramePr>
        <xdr:cNvPr id="16" name="Gráfico 15">
          <a:extLst>
            <a:ext uri="{FF2B5EF4-FFF2-40B4-BE49-F238E27FC236}">
              <a16:creationId xmlns:a16="http://schemas.microsoft.com/office/drawing/2014/main" id="{68A8568B-0DCF-0AD5-5792-73D9D08B172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47</xdr:col>
      <xdr:colOff>591344</xdr:colOff>
      <xdr:row>71</xdr:row>
      <xdr:rowOff>131565</xdr:rowOff>
    </xdr:from>
    <xdr:to>
      <xdr:col>51</xdr:col>
      <xdr:colOff>381000</xdr:colOff>
      <xdr:row>87</xdr:row>
      <xdr:rowOff>17265</xdr:rowOff>
    </xdr:to>
    <xdr:graphicFrame macro="">
      <xdr:nvGraphicFramePr>
        <xdr:cNvPr id="17" name="Gráfico 16">
          <a:extLst>
            <a:ext uri="{FF2B5EF4-FFF2-40B4-BE49-F238E27FC236}">
              <a16:creationId xmlns:a16="http://schemas.microsoft.com/office/drawing/2014/main" id="{EC1B46FF-200B-6ADF-0B42-0EFDC8CF98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to&#241;o%201\Casa%20Andina\Proyecto%20EcoHoteles%20-%20CA.Tourcert.Arqum\Tumbes\Consultor&#237;a%20energ&#233;tica%20Casa%20Andina%20-TUMB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to&#241;o%201\Casa%20Andina\Piura\Consultor&#237;a%20energ&#233;tica%20Casa%20Andina%20-PIURA%20PREMIUM.STANDARD.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JAM\DKTI\Movimiento%20EE\UP%20Date%20Carlos%20Zarate\test-cze_08-10_Diagn&#243;stico%20Energ&#233;tico%20Inicial.Ahuashiyacu(1).xlsx" TargetMode="External"/><Relationship Id="rId1" Type="http://schemas.openxmlformats.org/officeDocument/2006/relationships/externalLinkPath" Target="/JAM/DKTI/Movimiento%20EE/UP%20Date%20Carlos%20Zarate/test-cze_08-10_Diagn&#243;stico%20Energ&#233;tico%20Inicial.Ahuashiyacu(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de"/>
      <sheetName val="Puntos de medición"/>
      <sheetName val="Consumo de energía"/>
      <sheetName val="Indicadores"/>
      <sheetName val="potencial"/>
      <sheetName val="consumidores de energía"/>
      <sheetName val="medidas energéticas"/>
      <sheetName val="Reflector Halogeno Rampa"/>
      <sheetName val="Reflector Halogeno Playa"/>
      <sheetName val="Afiche en la puerta"/>
      <sheetName val="Extractorinyetcor"/>
      <sheetName val="Propuesta Agua"/>
      <sheetName val="Piscina"/>
      <sheetName val="Agua Caliente "/>
      <sheetName val="SFV"/>
      <sheetName val="ventilación"/>
      <sheetName val="medidas ventilación"/>
      <sheetName val="refrigeración"/>
      <sheetName val="medidas refrigeración"/>
      <sheetName val="dispositivos informáticos"/>
      <sheetName val="medidas disp. informáticos"/>
      <sheetName val="iluminación"/>
      <sheetName val="medidas iluminación"/>
      <sheetName val="cocina y bombas"/>
      <sheetName val="medidas cocina y bombas"/>
      <sheetName val="calefacción"/>
      <sheetName val="medidas calefacción"/>
      <sheetName val="medidas movilidad"/>
      <sheetName val="marcha de carg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17">
          <cell r="B17"/>
          <cell r="C17"/>
          <cell r="D17"/>
          <cell r="E17"/>
          <cell r="F17"/>
          <cell r="G17"/>
          <cell r="H17"/>
          <cell r="I17"/>
          <cell r="J17"/>
          <cell r="K17"/>
          <cell r="L17"/>
          <cell r="M17">
            <v>0</v>
          </cell>
        </row>
      </sheetData>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de"/>
      <sheetName val="Puntos de medición"/>
      <sheetName val="Consumo de energía"/>
      <sheetName val="Indicadores"/>
      <sheetName val="potencial"/>
      <sheetName val="consumidores de energía"/>
      <sheetName val="medidas energéticas"/>
      <sheetName val="marcha de carga"/>
      <sheetName val="Afiche en la puerta"/>
      <sheetName val="Conexion AA"/>
      <sheetName val="Sombra"/>
      <sheetName val="Extractor e inyector cocina"/>
      <sheetName val="ventilación"/>
      <sheetName val="medidas ventilación"/>
      <sheetName val="refrigeración"/>
      <sheetName val="medidas refrigeración"/>
      <sheetName val="dispositivos informáticos"/>
      <sheetName val="medidas disp. informáticos"/>
      <sheetName val="iluminación"/>
      <sheetName val="medidas iluminación"/>
      <sheetName val="cocina y bombas"/>
      <sheetName val="medidas cocina y bombas"/>
      <sheetName val="calefacción"/>
      <sheetName val="medidas calefacción"/>
      <sheetName val="medidas movilidad"/>
      <sheetName val="Agua Caliente "/>
      <sheetName val="SFV"/>
      <sheetName val="Bomb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10">
          <cell r="B10"/>
          <cell r="C10"/>
          <cell r="D10"/>
          <cell r="E10"/>
          <cell r="F10"/>
          <cell r="G10"/>
          <cell r="H10"/>
          <cell r="I10"/>
          <cell r="J10"/>
          <cell r="K10"/>
          <cell r="L10"/>
          <cell r="M10">
            <v>0</v>
          </cell>
        </row>
        <row r="17">
          <cell r="B17"/>
          <cell r="C17"/>
          <cell r="D17"/>
          <cell r="E17"/>
          <cell r="F17"/>
          <cell r="G17"/>
          <cell r="H17"/>
          <cell r="I17"/>
          <cell r="J17"/>
          <cell r="K17"/>
          <cell r="L17"/>
          <cell r="M17">
            <v>0</v>
          </cell>
        </row>
        <row r="24">
          <cell r="B24"/>
          <cell r="C24"/>
          <cell r="D24"/>
          <cell r="E24"/>
          <cell r="F24"/>
          <cell r="G24"/>
          <cell r="H24"/>
          <cell r="I24"/>
          <cell r="J24"/>
          <cell r="K24"/>
          <cell r="L24"/>
          <cell r="M24">
            <v>0</v>
          </cell>
        </row>
        <row r="31">
          <cell r="B31"/>
          <cell r="C31"/>
          <cell r="D31"/>
          <cell r="E31"/>
          <cell r="F31"/>
          <cell r="G31"/>
          <cell r="H31"/>
          <cell r="I31"/>
          <cell r="J31"/>
          <cell r="K31"/>
          <cell r="L31"/>
          <cell r="M31">
            <v>0</v>
          </cell>
        </row>
        <row r="39">
          <cell r="B39"/>
          <cell r="C39"/>
          <cell r="D39"/>
          <cell r="E39"/>
          <cell r="F39"/>
          <cell r="G39"/>
          <cell r="H39"/>
          <cell r="I39"/>
          <cell r="J39"/>
          <cell r="K39"/>
          <cell r="L39"/>
          <cell r="M39">
            <v>0</v>
          </cell>
        </row>
      </sheetData>
      <sheetData sheetId="23"/>
      <sheetData sheetId="24"/>
      <sheetData sheetId="25"/>
      <sheetData sheetId="26"/>
      <sheetData sheetId="2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e"/>
      <sheetName val="1.GeneralesEmpresa"/>
      <sheetName val="2.HistóricoConsumoEnergético"/>
      <sheetName val="3.Administración e iluminación"/>
      <sheetName val="4.Ident.Princip.Consumos"/>
      <sheetName val="5. Ecuación"/>
      <sheetName val="Hoja2"/>
      <sheetName val="Hoja1"/>
      <sheetName val="Opocion Tarifaria "/>
      <sheetName val="Tarifa MTBT"/>
      <sheetName val="Potencia-Condensador"/>
    </sheetNames>
    <sheetDataSet>
      <sheetData sheetId="0"/>
      <sheetData sheetId="1"/>
      <sheetData sheetId="2">
        <row r="5">
          <cell r="A5">
            <v>45170</v>
          </cell>
        </row>
        <row r="6">
          <cell r="A6">
            <v>45201</v>
          </cell>
        </row>
        <row r="7">
          <cell r="A7">
            <v>45232</v>
          </cell>
        </row>
        <row r="8">
          <cell r="A8">
            <v>45263</v>
          </cell>
        </row>
        <row r="9">
          <cell r="A9">
            <v>45294</v>
          </cell>
        </row>
        <row r="10">
          <cell r="A10">
            <v>45325</v>
          </cell>
        </row>
        <row r="11">
          <cell r="A11">
            <v>45356</v>
          </cell>
        </row>
        <row r="12">
          <cell r="A12">
            <v>45387</v>
          </cell>
        </row>
        <row r="13">
          <cell r="A13">
            <v>45418</v>
          </cell>
        </row>
        <row r="14">
          <cell r="A14">
            <v>45449</v>
          </cell>
        </row>
        <row r="15">
          <cell r="A15">
            <v>45480</v>
          </cell>
        </row>
        <row r="16">
          <cell r="A16">
            <v>45511</v>
          </cell>
        </row>
      </sheetData>
      <sheetData sheetId="3"/>
      <sheetData sheetId="4"/>
      <sheetData sheetId="5"/>
      <sheetData sheetId="6"/>
      <sheetData sheetId="7"/>
      <sheetData sheetId="8"/>
      <sheetData sheetId="9"/>
      <sheetData sheetId="10"/>
    </sheetDataSet>
  </externalBook>
</externalLink>
</file>

<file path=xl/persons/person.xml><?xml version="1.0" encoding="utf-8"?>
<personList xmlns="http://schemas.microsoft.com/office/spreadsheetml/2018/threadedcomments" xmlns:x="http://schemas.openxmlformats.org/spreadsheetml/2006/main">
  <person displayName="Juan Antonio Meza (JUME)" id="{AF12C5A7-43B4-45C9-B4A7-BE5D1DA9A35D}" userId="S::JUME@NIRAS.COM::9de0521c-65db-4b62-97af-829e9a585ee7"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00D4BCB-3F86-4BD2-909D-5B5FC34505A6}" name="Tabla1" displayName="Tabla1" ref="EJ5:EN28" totalsRowShown="0" headerRowDxfId="36" dataDxfId="34" headerRowBorderDxfId="35" tableBorderDxfId="33" totalsRowBorderDxfId="32">
  <autoFilter ref="EJ5:EN28" xr:uid="{900D4BCB-3F86-4BD2-909D-5B5FC34505A6}"/>
  <tableColumns count="5">
    <tableColumn id="1" xr3:uid="{82852002-C344-4DD6-9709-10C079092D27}" name="Máquinas" dataDxfId="31">
      <calculatedColumnFormula>DY6</calculatedColumnFormula>
    </tableColumn>
    <tableColumn id="3" xr3:uid="{CAEF1485-76BA-4742-ADD8-CBBF2D4F788D}" name="In" dataDxfId="30">
      <calculatedColumnFormula>EA6</calculatedColumnFormula>
    </tableColumn>
    <tableColumn id="4" xr3:uid="{FA4AD91B-AD61-412A-AA47-819D421A999E}" name="L1" dataDxfId="29">
      <calculatedColumnFormula>EB6</calculatedColumnFormula>
    </tableColumn>
    <tableColumn id="5" xr3:uid="{B5C6B54F-F906-4602-B823-84F26F6F36F1}" name="L2" dataDxfId="28">
      <calculatedColumnFormula>EC6</calculatedColumnFormula>
    </tableColumn>
    <tableColumn id="6" xr3:uid="{38DD4D44-4D50-4743-8175-3BE6E8086B55}" name="L3" dataDxfId="27">
      <calculatedColumnFormula>ED6</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5C0E191-7B3A-48C6-9B94-C32B0FAE9768}" name="Arequipa" displayName="Arequipa" ref="C3:C5" totalsRowShown="0" headerRowDxfId="26" dataDxfId="25">
  <autoFilter ref="C3:C5" xr:uid="{686CE1B8-E181-4D49-B5F7-14C55D811B59}"/>
  <tableColumns count="1">
    <tableColumn id="1" xr3:uid="{0571F1E0-4365-4024-A105-49F1A007B085}" name="Arequipa" dataDxfId="24"/>
  </tableColumns>
  <tableStyleInfo name="TableStyleLight1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05ED0F-9680-4CD2-BAC8-537299E86FCB}" name="Lima" displayName="Lima" ref="D3:D5" totalsRowShown="0" headerRowDxfId="23" dataDxfId="22">
  <autoFilter ref="D3:D5" xr:uid="{347D4BCB-4BDC-48B6-B294-D667BB818DB3}"/>
  <tableColumns count="1">
    <tableColumn id="1" xr3:uid="{E8B27A5D-C093-4B52-BB03-7B53AA07F1AC}" name="Lima" dataDxfId="21"/>
  </tableColumns>
  <tableStyleInfo name="TableStyleLight1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1CCF360-228C-4AF9-BD1B-8B6B7FC27DA0}" name="Trujillo" displayName="Trujillo" ref="E3:E5" totalsRowShown="0" headerRowDxfId="20" dataDxfId="19">
  <autoFilter ref="E3:E5" xr:uid="{323E76D4-1238-47F7-BA56-9B1D4EB7FF8E}"/>
  <tableColumns count="1">
    <tableColumn id="1" xr3:uid="{198A2782-1560-447B-B7EF-1212A9F1CD77}" name="Trujillo" dataDxfId="18"/>
  </tableColumns>
  <tableStyleInfo name="TableStyleLight1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7C234D6-342C-4BB1-BFB0-82BBC91DCE82}" name="Moyobamba" displayName="Moyobamba" ref="F3:F5" totalsRowShown="0" headerRowDxfId="17" dataDxfId="16">
  <autoFilter ref="F3:F5" xr:uid="{B7E5ACEA-6522-4ECE-B1B9-559CA5A2ECED}"/>
  <tableColumns count="1">
    <tableColumn id="1" xr3:uid="{3C172F41-515E-49D8-B661-675E966887C4}" name="Moyobamba" dataDxfId="15"/>
  </tableColumns>
  <tableStyleInfo name="TableStyleLight1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5A95A10-12FA-426A-8295-41F0A215B73C}" name="Ciudad" displayName="Ciudad" ref="B3:B7" totalsRowShown="0" headerRowDxfId="14" dataDxfId="13">
  <autoFilter ref="B3:B7" xr:uid="{FEE90DC4-657B-4ECC-94CA-2779AB79F22B}"/>
  <tableColumns count="1">
    <tableColumn id="1" xr3:uid="{902E3194-638A-479A-882C-051F47ED2889}" name="Ciudad" dataDxfId="12"/>
  </tableColumns>
  <tableStyleInfo name="TableStyleLight10"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B87F1B6-FEC2-491D-85A2-96A694B7278B}" name="Ciudad11" displayName="Ciudad11" ref="B10:F14" totalsRowShown="0" headerRowDxfId="11" dataDxfId="10">
  <autoFilter ref="B10:F14" xr:uid="{45BEC989-60F9-40F8-93D2-2F23D696D3FD}"/>
  <tableColumns count="5">
    <tableColumn id="1" xr3:uid="{2F7BF064-6651-4296-B05D-55B9DAC86D78}" name="Ciudad" dataDxfId="9"/>
    <tableColumn id="2" xr3:uid="{4EFE6BE4-0DC0-402D-83C3-31E479ECE646}" name="Arequipa" dataDxfId="8"/>
    <tableColumn id="3" xr3:uid="{8254FE1E-11AC-45F7-BA6A-48A79CAE3A21}" name="Lima" dataDxfId="7"/>
    <tableColumn id="4" xr3:uid="{A9AB6300-EF03-4C9B-83F1-C440CFD7C8F9}" name="Trujillo" dataDxfId="6"/>
    <tableColumn id="5" xr3:uid="{DF80E1D9-C793-460D-9FC3-36FB052E1999}" name="Moyobamba" dataDxfId="5"/>
  </tableColumns>
  <tableStyleInfo name="TableStyleLight10"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10" dT="2024-08-01T23:39:08.68" personId="{AF12C5A7-43B4-45C9-B4A7-BE5D1DA9A35D}" id="{E61B39E2-B389-4DB9-8180-75F102F10138}">
    <text>Considerar cada piso y básicamente al área de producción</text>
  </threadedComment>
</ThreadedComments>
</file>

<file path=xl/threadedComments/threadedComment2.xml><?xml version="1.0" encoding="utf-8"?>
<ThreadedComments xmlns="http://schemas.microsoft.com/office/spreadsheetml/2018/threadedcomments" xmlns:x="http://schemas.openxmlformats.org/spreadsheetml/2006/main">
  <threadedComment ref="H3" dT="2024-05-31T03:41:56.67" personId="{AF12C5A7-43B4-45C9-B4A7-BE5D1DA9A35D}" id="{6D0B5085-FD7C-49EE-B9DE-ED34D4D22320}">
    <text>E.R consumida, ojo no la facturada</text>
  </threadedComment>
</ThreadedComments>
</file>

<file path=xl/threadedComments/threadedComment3.xml><?xml version="1.0" encoding="utf-8"?>
<ThreadedComments xmlns="http://schemas.microsoft.com/office/spreadsheetml/2018/threadedcomments" xmlns:x="http://schemas.openxmlformats.org/spreadsheetml/2006/main">
  <threadedComment ref="H5" dT="2024-05-31T03:41:56.67" personId="{AF12C5A7-43B4-45C9-B4A7-BE5D1DA9A35D}" id="{B3EC3C78-F73C-4303-AC69-6618BB48BD47}">
    <text>E.R consumida, ojo no la facturada</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hyperlink" Target="https://espanol.epa.gov/la-energia-y-el-medioambiente/calculadora-de-equivalencias-de-gases-de-efecto-invernadero-calculos" TargetMode="External"/></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12.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1" Type="http://schemas.openxmlformats.org/officeDocument/2006/relationships/hyperlink" Target="https://huellacarbonoperu.minam.gob.pe/huellape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A2D26-992A-46FE-9A78-247B4415926D}">
  <sheetPr>
    <tabColor rgb="FFFFFF00"/>
  </sheetPr>
  <dimension ref="A1:AP50"/>
  <sheetViews>
    <sheetView tabSelected="1" view="pageLayout" topLeftCell="S1" zoomScaleNormal="100" workbookViewId="0">
      <selection activeCell="Y3" sqref="Y3"/>
    </sheetView>
  </sheetViews>
  <sheetFormatPr baseColWidth="10" defaultColWidth="11" defaultRowHeight="14" outlineLevelCol="1" x14ac:dyDescent="0.3"/>
  <cols>
    <col min="1" max="1" width="15" customWidth="1"/>
    <col min="2" max="4" width="11" customWidth="1" outlineLevel="1"/>
    <col min="5" max="5" width="11.33203125" customWidth="1" outlineLevel="1"/>
    <col min="6" max="6" width="9.58203125" customWidth="1" outlineLevel="1"/>
    <col min="7" max="7" width="9.08203125" customWidth="1" outlineLevel="1"/>
    <col min="10" max="10" width="14" customWidth="1"/>
    <col min="13" max="13" width="8.83203125" customWidth="1"/>
    <col min="14" max="14" width="12.33203125" customWidth="1"/>
    <col min="17" max="17" width="11.1640625" customWidth="1"/>
    <col min="19" max="19" width="11.6640625" customWidth="1"/>
    <col min="27" max="27" width="15.08203125" customWidth="1"/>
    <col min="28" max="28" width="11.9140625" customWidth="1"/>
    <col min="31" max="31" width="14.83203125" customWidth="1"/>
    <col min="33" max="33" width="5.5" customWidth="1"/>
    <col min="37" max="37" width="9.58203125" customWidth="1"/>
    <col min="38" max="38" width="13.1640625" customWidth="1"/>
    <col min="41" max="41" width="13" customWidth="1"/>
    <col min="42" max="42" width="11.1640625" customWidth="1"/>
  </cols>
  <sheetData>
    <row r="1" spans="1:28" x14ac:dyDescent="0.3">
      <c r="H1" s="408" t="s">
        <v>0</v>
      </c>
      <c r="I1" s="409"/>
      <c r="J1" s="96" t="str">
        <f>'Opocion Tarifaria '!B31</f>
        <v>Hacer Medición</v>
      </c>
      <c r="K1" s="410"/>
      <c r="L1" s="408"/>
      <c r="M1" s="408"/>
      <c r="N1" s="139"/>
      <c r="V1" s="405" t="s">
        <v>1</v>
      </c>
      <c r="W1" s="405"/>
      <c r="X1" s="405"/>
      <c r="Y1" s="406" t="s">
        <v>2</v>
      </c>
      <c r="Z1" s="406" t="s">
        <v>3</v>
      </c>
      <c r="AA1" s="465" t="s">
        <v>333</v>
      </c>
      <c r="AB1" s="476" t="s">
        <v>370</v>
      </c>
    </row>
    <row r="2" spans="1:28" x14ac:dyDescent="0.3">
      <c r="V2" s="405"/>
      <c r="W2" s="405"/>
      <c r="X2" s="405"/>
      <c r="Y2" s="406"/>
      <c r="Z2" s="406"/>
      <c r="AA2" s="406"/>
      <c r="AB2" s="406"/>
    </row>
    <row r="3" spans="1:28" x14ac:dyDescent="0.3">
      <c r="V3" s="407" t="str">
        <f>IF('4.Ident.Princip.Consumos'!A7="","-",'4.Ident.Princip.Consumos'!A7)</f>
        <v>-</v>
      </c>
      <c r="W3" s="407"/>
      <c r="X3" s="407"/>
      <c r="Y3" s="327" t="str">
        <f>IFERROR(Hoja1!DM6,"-")</f>
        <v>-</v>
      </c>
      <c r="Z3" s="90" t="str">
        <f>IF(V3="-","-",Hoja1!DC6)</f>
        <v>-</v>
      </c>
      <c r="AA3" s="135" t="str">
        <f>Hoja1!EU6</f>
        <v>-</v>
      </c>
      <c r="AB3" s="135" t="str">
        <f>IFERROR(Hoja1!FD6,"-")</f>
        <v>-</v>
      </c>
    </row>
    <row r="4" spans="1:28" x14ac:dyDescent="0.3">
      <c r="V4" s="407" t="str">
        <f>IF('4.Ident.Princip.Consumos'!A8="","-",'4.Ident.Princip.Consumos'!A8)</f>
        <v>-</v>
      </c>
      <c r="W4" s="407"/>
      <c r="X4" s="407"/>
      <c r="Y4" s="83" t="str">
        <f>IFERROR(Hoja1!DM7,"-")</f>
        <v>-</v>
      </c>
      <c r="Z4" s="90" t="str">
        <f>IF(V4="-","-",Hoja1!DC7)</f>
        <v>-</v>
      </c>
      <c r="AA4" s="135" t="str">
        <f>Hoja1!EU7</f>
        <v>-</v>
      </c>
      <c r="AB4" s="135" t="str">
        <f>IFERROR(Hoja1!FD7,"-")</f>
        <v>-</v>
      </c>
    </row>
    <row r="5" spans="1:28" ht="14.15" customHeight="1" x14ac:dyDescent="0.3">
      <c r="A5" s="429" t="s">
        <v>4</v>
      </c>
      <c r="B5" s="430" t="s">
        <v>5</v>
      </c>
      <c r="C5" s="431"/>
      <c r="D5" s="431"/>
      <c r="E5" s="431"/>
      <c r="F5" s="431"/>
      <c r="G5" s="431"/>
      <c r="V5" s="407" t="str">
        <f>IF('4.Ident.Princip.Consumos'!A9="","-",'4.Ident.Princip.Consumos'!A9)</f>
        <v>-</v>
      </c>
      <c r="W5" s="407"/>
      <c r="X5" s="407"/>
      <c r="Y5" s="327" t="str">
        <f>IFERROR(Hoja1!DM8,"-")</f>
        <v>-</v>
      </c>
      <c r="Z5" s="90" t="str">
        <f>IF(V5="-","-",Hoja1!DC8)</f>
        <v>-</v>
      </c>
      <c r="AA5" s="135" t="str">
        <f>Hoja1!EU8</f>
        <v>-</v>
      </c>
      <c r="AB5" s="135" t="str">
        <f>IFERROR(Hoja1!FD8,"-")</f>
        <v>-</v>
      </c>
    </row>
    <row r="6" spans="1:28" x14ac:dyDescent="0.3">
      <c r="A6" s="429"/>
      <c r="B6" s="431"/>
      <c r="C6" s="431"/>
      <c r="D6" s="431"/>
      <c r="E6" s="431"/>
      <c r="F6" s="431"/>
      <c r="G6" s="431"/>
      <c r="V6" s="407" t="str">
        <f>IF('4.Ident.Princip.Consumos'!A10="","-",'4.Ident.Princip.Consumos'!A10)</f>
        <v>-</v>
      </c>
      <c r="W6" s="407"/>
      <c r="X6" s="407"/>
      <c r="Y6" s="83" t="str">
        <f>IFERROR(Hoja1!DM9,"-")</f>
        <v>-</v>
      </c>
      <c r="Z6" s="90" t="str">
        <f>IF(V6="-","-",Hoja1!DC9)</f>
        <v>-</v>
      </c>
      <c r="AA6" s="135" t="str">
        <f>Hoja1!EU9</f>
        <v>-</v>
      </c>
      <c r="AB6" s="135" t="str">
        <f>IFERROR(Hoja1!FD9,"-")</f>
        <v>-</v>
      </c>
    </row>
    <row r="7" spans="1:28" x14ac:dyDescent="0.3">
      <c r="A7" s="413" t="s">
        <v>6</v>
      </c>
      <c r="B7" s="414"/>
      <c r="C7" s="414"/>
      <c r="D7" s="414"/>
      <c r="E7" s="414"/>
      <c r="F7" s="414"/>
      <c r="G7" s="415"/>
      <c r="V7" s="407" t="str">
        <f>IF('4.Ident.Princip.Consumos'!A11="","-",'4.Ident.Princip.Consumos'!A11)</f>
        <v>-</v>
      </c>
      <c r="W7" s="407"/>
      <c r="X7" s="407"/>
      <c r="Y7" s="83" t="str">
        <f>IFERROR(Hoja1!DM10,"-")</f>
        <v>-</v>
      </c>
      <c r="Z7" s="90" t="str">
        <f>IF(V7="-","-",Hoja1!DC10)</f>
        <v>-</v>
      </c>
      <c r="AA7" s="135" t="str">
        <f>Hoja1!EU10</f>
        <v>-</v>
      </c>
      <c r="AB7" s="135" t="str">
        <f>IFERROR(Hoja1!FD10,"-")</f>
        <v>-</v>
      </c>
    </row>
    <row r="8" spans="1:28" x14ac:dyDescent="0.3">
      <c r="A8" s="416"/>
      <c r="B8" s="417"/>
      <c r="C8" s="417"/>
      <c r="D8" s="417"/>
      <c r="E8" s="417"/>
      <c r="F8" s="417"/>
      <c r="G8" s="418"/>
      <c r="V8" s="407" t="str">
        <f>IF('4.Ident.Princip.Consumos'!A12="","-",'4.Ident.Princip.Consumos'!A12)</f>
        <v>-</v>
      </c>
      <c r="W8" s="407"/>
      <c r="X8" s="407"/>
      <c r="Y8" s="83" t="str">
        <f>IFERROR(Hoja1!DM11,"-")</f>
        <v>-</v>
      </c>
      <c r="Z8" s="90" t="str">
        <f>IF(V8="-","-",Hoja1!DC11)</f>
        <v>-</v>
      </c>
      <c r="AA8" s="135" t="str">
        <f>Hoja1!EU11</f>
        <v>-</v>
      </c>
      <c r="AB8" s="135" t="str">
        <f>IFERROR(Hoja1!FD11,"-")</f>
        <v>-</v>
      </c>
    </row>
    <row r="9" spans="1:28" x14ac:dyDescent="0.3">
      <c r="A9" s="48" t="s">
        <v>7</v>
      </c>
      <c r="B9" s="419">
        <f>'1.GeneralesEmpresa'!B1</f>
        <v>0</v>
      </c>
      <c r="C9" s="419"/>
      <c r="D9" s="419"/>
      <c r="E9" s="419"/>
      <c r="F9" s="419"/>
      <c r="G9" s="419"/>
      <c r="V9" s="407" t="str">
        <f>IF('4.Ident.Princip.Consumos'!A13="","-",'4.Ident.Princip.Consumos'!A13)</f>
        <v>-</v>
      </c>
      <c r="W9" s="407"/>
      <c r="X9" s="407"/>
      <c r="Y9" s="83" t="str">
        <f>IFERROR(Hoja1!DM12,"-")</f>
        <v>-</v>
      </c>
      <c r="Z9" s="90" t="str">
        <f>IF(V9="-","-",Hoja1!DC12)</f>
        <v>-</v>
      </c>
      <c r="AA9" s="135" t="str">
        <f>Hoja1!EU12</f>
        <v>-</v>
      </c>
      <c r="AB9" s="135" t="str">
        <f>IFERROR(Hoja1!FD12,"-")</f>
        <v>-</v>
      </c>
    </row>
    <row r="10" spans="1:28" x14ac:dyDescent="0.3">
      <c r="A10" s="48" t="s">
        <v>8</v>
      </c>
      <c r="B10" s="420">
        <f>'1.GeneralesEmpresa'!B2</f>
        <v>0</v>
      </c>
      <c r="C10" s="421"/>
      <c r="D10" s="422"/>
      <c r="E10" s="51" t="s">
        <v>9</v>
      </c>
      <c r="F10" s="423" t="str" cm="1">
        <f t="array" ref="F10">'1.GeneralesEmpresa'!G2:G2</f>
        <v>Hombre</v>
      </c>
      <c r="G10" s="424"/>
      <c r="V10" s="407" t="str">
        <f>IF('4.Ident.Princip.Consumos'!A14="","-",'4.Ident.Princip.Consumos'!A14)</f>
        <v>-</v>
      </c>
      <c r="W10" s="407"/>
      <c r="X10" s="407"/>
      <c r="Y10" s="83" t="str">
        <f>IFERROR(Hoja1!DM13,"-")</f>
        <v>-</v>
      </c>
      <c r="Z10" s="90" t="str">
        <f>IF(V10="-","-",Hoja1!DC13)</f>
        <v>-</v>
      </c>
      <c r="AA10" s="135" t="str">
        <f>Hoja1!EU13</f>
        <v>-</v>
      </c>
      <c r="AB10" s="135" t="str">
        <f>IFERROR(Hoja1!FD13,"-")</f>
        <v>-</v>
      </c>
    </row>
    <row r="11" spans="1:28" x14ac:dyDescent="0.3">
      <c r="A11" s="48" t="s">
        <v>10</v>
      </c>
      <c r="B11" s="419" t="str">
        <f>'1.GeneralesEmpresa'!B3</f>
        <v>Arequipa</v>
      </c>
      <c r="C11" s="419"/>
      <c r="D11" s="419"/>
      <c r="E11" s="419"/>
      <c r="F11" s="419"/>
      <c r="G11" s="419"/>
      <c r="V11" s="407" t="str">
        <f>IF('4.Ident.Princip.Consumos'!A15="","-",'4.Ident.Princip.Consumos'!A15)</f>
        <v>-</v>
      </c>
      <c r="W11" s="407"/>
      <c r="X11" s="407"/>
      <c r="Y11" s="83" t="str">
        <f>IFERROR(Hoja1!DM14,"-")</f>
        <v>-</v>
      </c>
      <c r="Z11" s="90" t="str">
        <f>IF(V11="-","-",Hoja1!DC14)</f>
        <v>-</v>
      </c>
      <c r="AA11" s="135" t="str">
        <f>Hoja1!EU14</f>
        <v>-</v>
      </c>
      <c r="AB11" s="135" t="str">
        <f>IFERROR(Hoja1!FD14,"-")</f>
        <v>-</v>
      </c>
    </row>
    <row r="12" spans="1:28" x14ac:dyDescent="0.3">
      <c r="A12" s="48" t="s">
        <v>11</v>
      </c>
      <c r="B12" s="419">
        <f>'1.GeneralesEmpresa'!B4</f>
        <v>0</v>
      </c>
      <c r="C12" s="419"/>
      <c r="D12" s="419"/>
      <c r="E12" s="419"/>
      <c r="F12" s="419"/>
      <c r="G12" s="419"/>
      <c r="V12" s="407" t="str">
        <f>IF('4.Ident.Princip.Consumos'!A16="","-",'4.Ident.Princip.Consumos'!A16)</f>
        <v>-</v>
      </c>
      <c r="W12" s="407"/>
      <c r="X12" s="407"/>
      <c r="Y12" s="83" t="str">
        <f>IFERROR(Hoja1!DM15,"-")</f>
        <v>-</v>
      </c>
      <c r="Z12" s="90" t="str">
        <f>IF(V12="-","-",Hoja1!DC15)</f>
        <v>-</v>
      </c>
      <c r="AA12" s="135" t="str">
        <f>Hoja1!EU15</f>
        <v>-</v>
      </c>
      <c r="AB12" s="135" t="str">
        <f>IFERROR(Hoja1!FD15,"-")</f>
        <v>-</v>
      </c>
    </row>
    <row r="13" spans="1:28" x14ac:dyDescent="0.3">
      <c r="A13" s="48" t="s">
        <v>12</v>
      </c>
      <c r="B13" s="1" t="str">
        <f>'1.GeneralesEmpresa'!B5</f>
        <v>MT3</v>
      </c>
      <c r="C13" s="426" t="s">
        <v>13</v>
      </c>
      <c r="D13" s="427"/>
      <c r="E13" s="427"/>
      <c r="F13" s="428"/>
      <c r="G13" s="46">
        <f>'1.GeneralesEmpresa'!G5</f>
        <v>0</v>
      </c>
      <c r="V13" s="407" t="str">
        <f>IF('4.Ident.Princip.Consumos'!A17="","-",'4.Ident.Princip.Consumos'!A17)</f>
        <v>-</v>
      </c>
      <c r="W13" s="407"/>
      <c r="X13" s="407"/>
      <c r="Y13" s="83" t="str">
        <f>IFERROR(Hoja1!DM16,"-")</f>
        <v>-</v>
      </c>
      <c r="Z13" s="90" t="str">
        <f>IF(V13="-","-",Hoja1!DC16)</f>
        <v>-</v>
      </c>
      <c r="AA13" s="135" t="str">
        <f>Hoja1!EU16</f>
        <v>-</v>
      </c>
      <c r="AB13" s="135" t="str">
        <f>IFERROR(Hoja1!FD16,"-")</f>
        <v>-</v>
      </c>
    </row>
    <row r="14" spans="1:28" ht="44.15" customHeight="1" x14ac:dyDescent="0.3">
      <c r="A14" s="49" t="s">
        <v>14</v>
      </c>
      <c r="B14" s="398">
        <f>'1.GeneralesEmpresa'!B6</f>
        <v>0</v>
      </c>
      <c r="C14" s="398"/>
      <c r="D14" s="398"/>
      <c r="E14" s="398"/>
      <c r="F14" s="398"/>
      <c r="G14" s="398"/>
      <c r="V14" s="407" t="str">
        <f>IF('4.Ident.Princip.Consumos'!A18="","-",'4.Ident.Princip.Consumos'!A18)</f>
        <v>-</v>
      </c>
      <c r="W14" s="407"/>
      <c r="X14" s="407"/>
      <c r="Y14" s="83" t="str">
        <f>IFERROR(Hoja1!DM17,"-")</f>
        <v>-</v>
      </c>
      <c r="Z14" s="90" t="str">
        <f>IF(V14="-","-",Hoja1!DC17)</f>
        <v>-</v>
      </c>
      <c r="AA14" s="135" t="str">
        <f>Hoja1!EU17</f>
        <v>-</v>
      </c>
      <c r="AB14" s="135" t="str">
        <f>IFERROR(Hoja1!FD17,"-")</f>
        <v>-</v>
      </c>
    </row>
    <row r="15" spans="1:28" ht="44.15" customHeight="1" x14ac:dyDescent="0.3">
      <c r="A15" s="50" t="s">
        <v>15</v>
      </c>
      <c r="B15" s="398">
        <f>'1.GeneralesEmpresa'!B7</f>
        <v>0</v>
      </c>
      <c r="C15" s="398"/>
      <c r="D15" s="398"/>
      <c r="E15" s="398"/>
      <c r="F15" s="398"/>
      <c r="G15" s="425"/>
      <c r="H15" s="411" t="s">
        <v>16</v>
      </c>
      <c r="I15" s="411"/>
      <c r="J15" s="91">
        <f>Hoja1!$AY$18</f>
        <v>0</v>
      </c>
      <c r="K15" s="412" t="s">
        <v>17</v>
      </c>
      <c r="L15" s="411"/>
      <c r="M15" s="411"/>
      <c r="N15" s="91">
        <f>IF(ISERROR(Hoja1!$AY$18-Hoja1!$BA$18),"0",(Hoja1!$AY$18-Hoja1!$BA$18))</f>
        <v>0</v>
      </c>
      <c r="O15" s="438" t="s">
        <v>18</v>
      </c>
      <c r="P15" s="439"/>
      <c r="Q15" s="439"/>
      <c r="R15" s="439"/>
      <c r="S15" s="439"/>
      <c r="T15" s="439"/>
      <c r="U15" s="439"/>
      <c r="V15" s="407" t="str">
        <f>IF('4.Ident.Princip.Consumos'!A19="","-",'4.Ident.Princip.Consumos'!A19)</f>
        <v>-</v>
      </c>
      <c r="W15" s="407"/>
      <c r="X15" s="407"/>
      <c r="Y15" s="83" t="str">
        <f>IFERROR(Hoja1!DM18,"-")</f>
        <v>-</v>
      </c>
      <c r="Z15" s="90" t="str">
        <f>IF(V15="-","-",Hoja1!DC18)</f>
        <v>-</v>
      </c>
      <c r="AA15" s="135" t="str">
        <f>Hoja1!EU18</f>
        <v>-</v>
      </c>
      <c r="AB15" s="135" t="str">
        <f>IFERROR(Hoja1!FD18,"-")</f>
        <v>-</v>
      </c>
    </row>
    <row r="16" spans="1:28" x14ac:dyDescent="0.3">
      <c r="A16" s="50" t="s">
        <v>19</v>
      </c>
      <c r="B16" s="397">
        <f>'1.GeneralesEmpresa'!B8</f>
        <v>0</v>
      </c>
      <c r="C16" s="397"/>
      <c r="D16" s="397"/>
      <c r="E16" s="397"/>
      <c r="F16" s="397"/>
      <c r="G16" s="397"/>
      <c r="O16" s="440" t="s">
        <v>20</v>
      </c>
      <c r="P16" s="441"/>
      <c r="Q16" s="46" t="str">
        <f>'1.GeneralesEmpresa'!D10</f>
        <v>Abril</v>
      </c>
      <c r="S16" s="442" t="s">
        <v>21</v>
      </c>
      <c r="T16" s="442"/>
      <c r="U16" s="46" t="str">
        <f>'1.GeneralesEmpresa'!D9</f>
        <v>Octubre</v>
      </c>
      <c r="V16" s="407" t="str">
        <f>IF('4.Ident.Princip.Consumos'!A20="","-",'4.Ident.Princip.Consumos'!A20)</f>
        <v>-</v>
      </c>
      <c r="W16" s="407"/>
      <c r="X16" s="407"/>
      <c r="Y16" s="83" t="str">
        <f>IFERROR(Hoja1!DM19,"-")</f>
        <v>-</v>
      </c>
      <c r="Z16" s="90" t="str">
        <f>IF(V16="-","-",Hoja1!DC19)</f>
        <v>-</v>
      </c>
      <c r="AA16" s="135" t="str">
        <f>Hoja1!EU19</f>
        <v>-</v>
      </c>
      <c r="AB16" s="135" t="str">
        <f>IFERROR(Hoja1!FD19,"-")</f>
        <v>-</v>
      </c>
    </row>
    <row r="17" spans="1:42" x14ac:dyDescent="0.3">
      <c r="A17" s="97" t="s">
        <v>22</v>
      </c>
      <c r="B17" s="404" t="s">
        <v>23</v>
      </c>
      <c r="C17" s="404"/>
      <c r="D17" s="404"/>
      <c r="E17" s="404"/>
      <c r="F17" s="404"/>
      <c r="G17" s="404"/>
      <c r="V17" s="407" t="str">
        <f>IF('4.Ident.Princip.Consumos'!A21="","-",'4.Ident.Princip.Consumos'!A21)</f>
        <v>-</v>
      </c>
      <c r="W17" s="407"/>
      <c r="X17" s="407"/>
      <c r="Y17" s="83" t="str">
        <f>IFERROR(Hoja1!DM20,"-")</f>
        <v>-</v>
      </c>
      <c r="Z17" s="90" t="str">
        <f>IF(V17="-","-",Hoja1!DC20)</f>
        <v>-</v>
      </c>
      <c r="AA17" s="135" t="str">
        <f>Hoja1!EU20</f>
        <v>-</v>
      </c>
      <c r="AB17" s="135" t="str">
        <f>IFERROR(Hoja1!FD20,"-")</f>
        <v>-</v>
      </c>
    </row>
    <row r="18" spans="1:42" x14ac:dyDescent="0.3">
      <c r="V18" s="407" t="str">
        <f>IF('4.Ident.Princip.Consumos'!A22="","-",'4.Ident.Princip.Consumos'!A22)</f>
        <v>-</v>
      </c>
      <c r="W18" s="407"/>
      <c r="X18" s="407"/>
      <c r="Y18" s="83" t="str">
        <f>IFERROR(Hoja1!DM21,"-")</f>
        <v>-</v>
      </c>
      <c r="Z18" s="90" t="str">
        <f>IF(V18="-","-",Hoja1!DC21)</f>
        <v>-</v>
      </c>
      <c r="AA18" s="135" t="str">
        <f>Hoja1!EU21</f>
        <v>-</v>
      </c>
      <c r="AB18" s="135" t="str">
        <f>IFERROR(Hoja1!FD21,"-")</f>
        <v>-</v>
      </c>
    </row>
    <row r="19" spans="1:42" x14ac:dyDescent="0.3">
      <c r="V19" s="407" t="str">
        <f>IF('4.Ident.Princip.Consumos'!A23="","-",'4.Ident.Princip.Consumos'!A23)</f>
        <v>-</v>
      </c>
      <c r="W19" s="407"/>
      <c r="X19" s="407"/>
      <c r="Y19" s="83" t="str">
        <f>IFERROR(Hoja1!DM22,"-")</f>
        <v>-</v>
      </c>
      <c r="Z19" s="90" t="str">
        <f>IF(V19="-","-",Hoja1!DC22)</f>
        <v>-</v>
      </c>
      <c r="AA19" s="135" t="str">
        <f>Hoja1!EU22</f>
        <v>-</v>
      </c>
      <c r="AB19" s="135" t="str">
        <f>IFERROR(Hoja1!FD22,"-")</f>
        <v>-</v>
      </c>
    </row>
    <row r="20" spans="1:42" x14ac:dyDescent="0.3">
      <c r="V20" s="407" t="str">
        <f>IF('4.Ident.Princip.Consumos'!A24="","-",'4.Ident.Princip.Consumos'!A24)</f>
        <v>-</v>
      </c>
      <c r="W20" s="407"/>
      <c r="X20" s="407"/>
      <c r="Y20" s="83" t="str">
        <f>IFERROR(Hoja1!DM23,"-")</f>
        <v>-</v>
      </c>
      <c r="Z20" s="90" t="str">
        <f>IF(V20="-","-",Hoja1!DC23)</f>
        <v>-</v>
      </c>
      <c r="AA20" s="135" t="str">
        <f>Hoja1!EU23</f>
        <v>-</v>
      </c>
      <c r="AB20" s="135" t="str">
        <f>IFERROR(Hoja1!FD23,"-")</f>
        <v>-</v>
      </c>
    </row>
    <row r="21" spans="1:42" x14ac:dyDescent="0.3">
      <c r="V21" s="407" t="str">
        <f>IF('4.Ident.Princip.Consumos'!A25="","-",'4.Ident.Princip.Consumos'!A25)</f>
        <v>-</v>
      </c>
      <c r="W21" s="407"/>
      <c r="X21" s="407"/>
      <c r="Y21" s="83" t="str">
        <f>IFERROR(Hoja1!DM24,"-")</f>
        <v>-</v>
      </c>
      <c r="Z21" s="90" t="str">
        <f>IF(V21="-","-",Hoja1!DC24)</f>
        <v>-</v>
      </c>
      <c r="AA21" s="135" t="str">
        <f>Hoja1!EU24</f>
        <v>-</v>
      </c>
      <c r="AB21" s="135" t="str">
        <f>IFERROR(Hoja1!FD24,"-")</f>
        <v>-</v>
      </c>
    </row>
    <row r="22" spans="1:42" x14ac:dyDescent="0.3">
      <c r="V22" s="407" t="str">
        <f>IF('4.Ident.Princip.Consumos'!A26="","-",'4.Ident.Princip.Consumos'!A26)</f>
        <v>-</v>
      </c>
      <c r="W22" s="407"/>
      <c r="X22" s="407"/>
      <c r="Y22" s="83" t="str">
        <f>IFERROR(Hoja1!DM25,"-")</f>
        <v>-</v>
      </c>
      <c r="Z22" s="90" t="str">
        <f>IF(V22="-","-",Hoja1!DC25)</f>
        <v>-</v>
      </c>
      <c r="AA22" s="135" t="str">
        <f>Hoja1!EU25</f>
        <v>-</v>
      </c>
      <c r="AB22" s="135" t="str">
        <f>IFERROR(Hoja1!FD25,"-")</f>
        <v>-</v>
      </c>
      <c r="AJ22" s="186" t="s">
        <v>400</v>
      </c>
      <c r="AL22" s="6"/>
      <c r="AM22" s="193" t="str">
        <f>'6.Compensación'!B2</f>
        <v>-</v>
      </c>
    </row>
    <row r="23" spans="1:42" x14ac:dyDescent="0.3">
      <c r="V23" s="407" t="str">
        <f>IF('4.Ident.Princip.Consumos'!A27="","-",'4.Ident.Princip.Consumos'!A27)</f>
        <v>-</v>
      </c>
      <c r="W23" s="407"/>
      <c r="X23" s="407"/>
      <c r="Y23" s="83" t="str">
        <f>IFERROR(Hoja1!DM26,"-")</f>
        <v>-</v>
      </c>
      <c r="Z23" s="90" t="str">
        <f>IF(V23="-","-",Hoja1!DC26)</f>
        <v>-</v>
      </c>
      <c r="AA23" s="135" t="str">
        <f>Hoja1!EU26</f>
        <v>-</v>
      </c>
      <c r="AB23" s="135" t="str">
        <f>IFERROR(Hoja1!FD26,"-")</f>
        <v>-</v>
      </c>
      <c r="AJ23" s="186" t="s">
        <v>401</v>
      </c>
      <c r="AL23" s="436">
        <f>'6.Compensación'!B3</f>
        <v>0</v>
      </c>
      <c r="AM23" s="437"/>
    </row>
    <row r="24" spans="1:42" x14ac:dyDescent="0.3">
      <c r="V24" s="407" t="str">
        <f>IF('4.Ident.Princip.Consumos'!A28="","-",'4.Ident.Princip.Consumos'!A28)</f>
        <v>-</v>
      </c>
      <c r="W24" s="407"/>
      <c r="X24" s="407"/>
      <c r="Y24" s="83" t="str">
        <f>IFERROR(Hoja1!DM27,"-")</f>
        <v>-</v>
      </c>
      <c r="Z24" s="90" t="str">
        <f>IF(V24="-","-",Hoja1!DC27)</f>
        <v>-</v>
      </c>
      <c r="AA24" s="135" t="str">
        <f>Hoja1!EU27</f>
        <v>-</v>
      </c>
      <c r="AB24" s="135" t="str">
        <f>IFERROR(Hoja1!FD27,"-")</f>
        <v>-</v>
      </c>
      <c r="AJ24" s="186" t="s">
        <v>396</v>
      </c>
      <c r="AM24" s="192" t="str">
        <f>'6.Compensación'!C5</f>
        <v>-</v>
      </c>
    </row>
    <row r="25" spans="1:42" x14ac:dyDescent="0.3">
      <c r="V25" s="407" t="str">
        <f>IF('4.Ident.Princip.Consumos'!A29="","-",'4.Ident.Princip.Consumos'!A29)</f>
        <v>-</v>
      </c>
      <c r="W25" s="407"/>
      <c r="X25" s="407"/>
      <c r="Y25" s="83" t="str">
        <f>IFERROR(Hoja1!DM28,"-")</f>
        <v>-</v>
      </c>
      <c r="Z25" s="90" t="str">
        <f>IF(V25="-","-",Hoja1!DB27)</f>
        <v>-</v>
      </c>
      <c r="AA25" s="135" t="str">
        <f>Hoja1!EU28</f>
        <v>-</v>
      </c>
      <c r="AB25" s="135" t="str">
        <f>IFERROR(Hoja1!FD28,"-")</f>
        <v>-</v>
      </c>
    </row>
    <row r="26" spans="1:42" ht="14" customHeight="1" x14ac:dyDescent="0.3">
      <c r="V26" s="100"/>
      <c r="W26" s="100"/>
      <c r="X26" s="100"/>
      <c r="AA26" s="11"/>
      <c r="AI26" s="6"/>
      <c r="AJ26" s="472" t="s">
        <v>523</v>
      </c>
      <c r="AK26" s="473" t="str">
        <f>Datos!H16</f>
        <v>Potencia SFV  (kWp)</v>
      </c>
      <c r="AL26" s="473" t="str">
        <f>Datos!I16</f>
        <v>% de energia cubierta por SFV vs EHFP</v>
      </c>
      <c r="AM26" s="473" t="str">
        <f>Datos!J16</f>
        <v>Costo SFV (USD)</v>
      </c>
      <c r="AN26" s="473" t="s">
        <v>521</v>
      </c>
      <c r="AO26" s="473" t="str">
        <f>Datos!L16</f>
        <v>Ahorro total en la vida del SFV (USD)</v>
      </c>
      <c r="AP26" s="474" t="s">
        <v>436</v>
      </c>
    </row>
    <row r="27" spans="1:42" x14ac:dyDescent="0.3">
      <c r="V27" s="6"/>
      <c r="W27" s="6"/>
      <c r="X27" s="6"/>
      <c r="AI27" s="6"/>
      <c r="AJ27" s="472"/>
      <c r="AK27" s="473"/>
      <c r="AL27" s="473"/>
      <c r="AM27" s="473"/>
      <c r="AN27" s="473"/>
      <c r="AO27" s="473"/>
      <c r="AP27" s="475"/>
    </row>
    <row r="28" spans="1:42" x14ac:dyDescent="0.3">
      <c r="V28" s="6"/>
      <c r="W28" s="6"/>
      <c r="X28" s="6"/>
      <c r="AI28" s="6"/>
      <c r="AJ28" s="472"/>
      <c r="AK28" s="473"/>
      <c r="AL28" s="473"/>
      <c r="AM28" s="473"/>
      <c r="AN28" s="473"/>
      <c r="AO28" s="473"/>
      <c r="AP28" s="475"/>
    </row>
    <row r="29" spans="1:42" x14ac:dyDescent="0.3">
      <c r="AC29" s="469" t="s">
        <v>359</v>
      </c>
      <c r="AD29" s="469"/>
      <c r="AE29" s="469"/>
      <c r="AF29" s="469"/>
      <c r="AG29" s="469"/>
      <c r="AH29" s="469"/>
      <c r="AI29" s="470"/>
      <c r="AJ29" s="472"/>
      <c r="AK29" s="243" t="str">
        <f>IFERROR(Datos!H17,"-")</f>
        <v>-</v>
      </c>
      <c r="AL29" s="390" t="str">
        <f>IFERROR(Datos!I17,"-")</f>
        <v>-</v>
      </c>
      <c r="AM29" s="391" t="str">
        <f>IFERROR(Datos!J17,"-")</f>
        <v>-</v>
      </c>
      <c r="AN29" s="391" t="str">
        <f>IFERROR(Datos!K17,"-")</f>
        <v>-</v>
      </c>
      <c r="AO29" s="391" t="str">
        <f>IFERROR(Datos!L17,"-")</f>
        <v>-</v>
      </c>
      <c r="AP29" s="475"/>
    </row>
    <row r="30" spans="1:42" x14ac:dyDescent="0.3">
      <c r="AC30" s="432" t="s">
        <v>358</v>
      </c>
      <c r="AD30" s="432"/>
      <c r="AE30" s="151" t="s">
        <v>360</v>
      </c>
      <c r="AF30" s="432" t="s">
        <v>362</v>
      </c>
      <c r="AG30" s="432"/>
      <c r="AH30" s="467" t="s">
        <v>361</v>
      </c>
      <c r="AI30" s="468"/>
      <c r="AJ30" s="472"/>
      <c r="AK30" s="243" t="str">
        <f>IFERROR(Datos!H18,"-")</f>
        <v>-</v>
      </c>
      <c r="AL30" s="390" t="str">
        <f>IFERROR(Datos!I18,"-")</f>
        <v>-</v>
      </c>
      <c r="AM30" s="391" t="str">
        <f>IFERROR(Datos!J18,"-")</f>
        <v>-</v>
      </c>
      <c r="AN30" s="391" t="str">
        <f>IFERROR(Datos!K18,"-")</f>
        <v>-</v>
      </c>
      <c r="AO30" s="391" t="str">
        <f>IFERROR(Datos!L18,"-")</f>
        <v>-</v>
      </c>
      <c r="AP30" s="475"/>
    </row>
    <row r="31" spans="1:42" x14ac:dyDescent="0.3">
      <c r="AC31" s="433" t="str">
        <f>IF(AF31="-","-",'3.Administración e iluminación'!I5)</f>
        <v>-</v>
      </c>
      <c r="AD31" s="434"/>
      <c r="AE31" s="9" t="str">
        <f>IF(Hoja2!AO2=0,"-",Hoja2!AO2)</f>
        <v>-</v>
      </c>
      <c r="AF31" s="435" t="str">
        <f>IF(Hoja2!AP2=0,"-",Hoja2!AP2)</f>
        <v>-</v>
      </c>
      <c r="AG31" s="435"/>
      <c r="AH31" s="435" t="str">
        <f>IFERROR(Hoja2!AR2,"-")</f>
        <v>-</v>
      </c>
      <c r="AI31" s="471"/>
      <c r="AJ31" s="472"/>
      <c r="AK31" s="243" t="str">
        <f>IFERROR(Datos!H19,"-")</f>
        <v>-</v>
      </c>
      <c r="AL31" s="390" t="str">
        <f>IFERROR(Datos!I19,"-")</f>
        <v>-</v>
      </c>
      <c r="AM31" s="391" t="str">
        <f>IFERROR(Datos!J19,"-")</f>
        <v>-</v>
      </c>
      <c r="AN31" s="391" t="str">
        <f>IFERROR(Datos!K19,"-")</f>
        <v>-</v>
      </c>
      <c r="AO31" s="391" t="str">
        <f>IFERROR(Datos!L19,"-")</f>
        <v>-</v>
      </c>
      <c r="AP31" s="475"/>
    </row>
    <row r="32" spans="1:42" ht="14.5" thickBot="1" x14ac:dyDescent="0.35">
      <c r="H32" s="402" t="s">
        <v>24</v>
      </c>
      <c r="I32" s="403"/>
      <c r="J32" s="9">
        <f>Hoja1!$BF$18</f>
        <v>0</v>
      </c>
      <c r="AC32" s="433" t="str">
        <f>IF(AF32="-","-",'3.Administración e iluminación'!I6)</f>
        <v>-</v>
      </c>
      <c r="AD32" s="434"/>
      <c r="AE32" s="9" t="str">
        <f>IF(Hoja2!AO3=0,"-",Hoja2!AO3)</f>
        <v>-</v>
      </c>
      <c r="AF32" s="435" t="str">
        <f>IF(Hoja2!AP3=0,"-",Hoja2!AP3)</f>
        <v>-</v>
      </c>
      <c r="AG32" s="435"/>
      <c r="AH32" s="435" t="str">
        <f>IFERROR(Hoja2!AR3,"-")</f>
        <v>-</v>
      </c>
      <c r="AI32" s="435"/>
      <c r="AJ32" s="6"/>
      <c r="AK32" s="392" t="s">
        <v>522</v>
      </c>
    </row>
    <row r="33" spans="8:42" ht="14.5" thickBot="1" x14ac:dyDescent="0.35">
      <c r="O33" s="450" t="s">
        <v>25</v>
      </c>
      <c r="P33" s="451"/>
      <c r="Q33" s="451"/>
      <c r="R33" s="451"/>
      <c r="S33" s="451"/>
      <c r="T33" s="451"/>
      <c r="U33" s="452"/>
      <c r="AC33" s="433" t="str">
        <f>IF(AF33="-","-",'3.Administración e iluminación'!I7)</f>
        <v>-</v>
      </c>
      <c r="AD33" s="434"/>
      <c r="AE33" s="9" t="str">
        <f>IF(Hoja2!AO4=0,"-",Hoja2!AO4)</f>
        <v>-</v>
      </c>
      <c r="AF33" s="435" t="str">
        <f>IF(Hoja2!AP4=0,"-",Hoja2!AP4)</f>
        <v>-</v>
      </c>
      <c r="AG33" s="435"/>
      <c r="AH33" s="435" t="str">
        <f>IFERROR(Hoja2!AR4,"-")</f>
        <v>-</v>
      </c>
      <c r="AI33" s="435"/>
      <c r="AJ33" s="466" t="s">
        <v>26</v>
      </c>
      <c r="AK33" s="466"/>
      <c r="AL33" s="466"/>
      <c r="AM33" s="466"/>
      <c r="AN33" s="466"/>
      <c r="AO33" s="466"/>
      <c r="AP33" s="466"/>
    </row>
    <row r="34" spans="8:42" ht="14.15" customHeight="1" x14ac:dyDescent="0.3">
      <c r="O34" s="443" t="s">
        <v>27</v>
      </c>
      <c r="P34" s="444"/>
      <c r="Q34" s="92" t="str">
        <f>IFERROR(Hoja2!L2,"-")</f>
        <v>-</v>
      </c>
      <c r="R34" s="6"/>
      <c r="S34" s="449" t="s">
        <v>28</v>
      </c>
      <c r="T34" s="444"/>
      <c r="U34" s="94" t="str">
        <f>IFERROR((Hoja2!L5),"-")</f>
        <v>-</v>
      </c>
      <c r="AC34" s="433" t="str">
        <f>IF(AF34="-","-",'3.Administración e iluminación'!I8)</f>
        <v>-</v>
      </c>
      <c r="AD34" s="434"/>
      <c r="AE34" s="9" t="str">
        <f>IF(Hoja2!AO5=0,"-",Hoja2!AO5)</f>
        <v>-</v>
      </c>
      <c r="AF34" s="435" t="str">
        <f>IF(Hoja2!AP5=0,"-",Hoja2!AP5)</f>
        <v>-</v>
      </c>
      <c r="AG34" s="435"/>
      <c r="AH34" s="435" t="str">
        <f>IFERROR(Hoja2!AR5,"-")</f>
        <v>-</v>
      </c>
      <c r="AI34" s="435"/>
      <c r="AJ34" s="477"/>
      <c r="AK34" s="478"/>
      <c r="AL34" s="478"/>
      <c r="AM34" s="478"/>
      <c r="AN34" s="478"/>
      <c r="AO34" s="478"/>
      <c r="AP34" s="478"/>
    </row>
    <row r="35" spans="8:42" x14ac:dyDescent="0.3">
      <c r="O35" s="445" t="s">
        <v>29</v>
      </c>
      <c r="P35" s="446"/>
      <c r="Q35" s="92" t="str">
        <f>IFERROR(Hoja2!L3,"-")</f>
        <v>-</v>
      </c>
      <c r="R35" s="6"/>
      <c r="S35" s="445" t="s">
        <v>30</v>
      </c>
      <c r="T35" s="446"/>
      <c r="U35" s="94" t="str">
        <f>IFERROR((Hoja2!L6),"-")</f>
        <v>-</v>
      </c>
      <c r="AC35" s="433" t="str">
        <f>IF(AF35="-","-",'3.Administración e iluminación'!I9)</f>
        <v>-</v>
      </c>
      <c r="AD35" s="434"/>
      <c r="AE35" s="9" t="str">
        <f>IF(Hoja2!AO6=0,"-",Hoja2!AO6)</f>
        <v>-</v>
      </c>
      <c r="AF35" s="435" t="str">
        <f>IF(Hoja2!AP6=0,"-",Hoja2!AP6)</f>
        <v>-</v>
      </c>
      <c r="AG35" s="435"/>
      <c r="AH35" s="435" t="str">
        <f>IFERROR(Hoja2!AR6,"-")</f>
        <v>-</v>
      </c>
      <c r="AI35" s="435"/>
      <c r="AJ35" s="478"/>
      <c r="AK35" s="478"/>
      <c r="AL35" s="478"/>
      <c r="AM35" s="478"/>
      <c r="AN35" s="478"/>
      <c r="AO35" s="478"/>
      <c r="AP35" s="478"/>
    </row>
    <row r="36" spans="8:42" x14ac:dyDescent="0.3">
      <c r="O36" s="447" t="s">
        <v>31</v>
      </c>
      <c r="P36" s="448"/>
      <c r="Q36" s="93" t="str">
        <f>IFERROR(Hoja2!L4,"-")</f>
        <v>-</v>
      </c>
      <c r="R36" s="6"/>
      <c r="S36" s="447" t="s">
        <v>32</v>
      </c>
      <c r="T36" s="448"/>
      <c r="U36" s="94" t="str">
        <f>IFERROR((Hoja2!L7),"-")</f>
        <v>-</v>
      </c>
      <c r="AC36" s="433" t="str">
        <f>IF(AF36="-","-",'3.Administración e iluminación'!I10)</f>
        <v>-</v>
      </c>
      <c r="AD36" s="434"/>
      <c r="AE36" s="9" t="str">
        <f>IF(Hoja2!AO7=0,"-",Hoja2!AO7)</f>
        <v>-</v>
      </c>
      <c r="AF36" s="435" t="str">
        <f>IF(Hoja2!AP7=0,"-",Hoja2!AP7)</f>
        <v>-</v>
      </c>
      <c r="AG36" s="435"/>
      <c r="AH36" s="435" t="str">
        <f>IFERROR(Hoja2!AR7,"-")</f>
        <v>-</v>
      </c>
      <c r="AI36" s="435"/>
      <c r="AJ36" s="478"/>
      <c r="AK36" s="478"/>
      <c r="AL36" s="478"/>
      <c r="AM36" s="478"/>
      <c r="AN36" s="478"/>
      <c r="AO36" s="478"/>
      <c r="AP36" s="478"/>
    </row>
    <row r="37" spans="8:42" x14ac:dyDescent="0.3">
      <c r="O37" s="453" t="s">
        <v>33</v>
      </c>
      <c r="P37" s="454"/>
      <c r="Q37" s="454" t="s">
        <v>34</v>
      </c>
      <c r="R37" s="454"/>
      <c r="S37" s="454"/>
      <c r="T37" s="454" t="s">
        <v>35</v>
      </c>
      <c r="U37" s="455"/>
      <c r="AC37" s="433" t="str">
        <f>IF(AF37="-","-",'3.Administración e iluminación'!I11)</f>
        <v>-</v>
      </c>
      <c r="AD37" s="434"/>
      <c r="AE37" s="9" t="str">
        <f>IF(Hoja2!AO8=0,"-",Hoja2!AO8)</f>
        <v>-</v>
      </c>
      <c r="AF37" s="435" t="str">
        <f>IF(Hoja2!AP8=0,"-",Hoja2!AP8)</f>
        <v>-</v>
      </c>
      <c r="AG37" s="435"/>
      <c r="AH37" s="435" t="str">
        <f>IFERROR(Hoja2!AR8,"-")</f>
        <v>-</v>
      </c>
      <c r="AI37" s="435"/>
      <c r="AJ37" s="478"/>
      <c r="AK37" s="478"/>
      <c r="AL37" s="478"/>
      <c r="AM37" s="478"/>
      <c r="AN37" s="478"/>
      <c r="AO37" s="478"/>
      <c r="AP37" s="478"/>
    </row>
    <row r="38" spans="8:42" ht="14.5" thickBot="1" x14ac:dyDescent="0.35">
      <c r="O38" s="456" t="str">
        <f>IFERROR(Hoja2!Q2,"-")</f>
        <v>-</v>
      </c>
      <c r="P38" s="457"/>
      <c r="Q38" s="399" t="str">
        <f>IFERROR(Hoja2!Q3,"-")</f>
        <v>-</v>
      </c>
      <c r="R38" s="400"/>
      <c r="S38" s="400"/>
      <c r="T38" s="399" t="str">
        <f>IFERROR(Hoja2!Q4,"-")</f>
        <v>-</v>
      </c>
      <c r="U38" s="401"/>
      <c r="AC38" s="433" t="str">
        <f>IF(AF38="-","-",'3.Administración e iluminación'!I12)</f>
        <v>-</v>
      </c>
      <c r="AD38" s="434"/>
      <c r="AE38" s="9" t="str">
        <f>IF(Hoja2!AO9=0,"-",Hoja2!AO9)</f>
        <v>-</v>
      </c>
      <c r="AF38" s="435" t="str">
        <f>IF(Hoja2!AP9=0,"-",Hoja2!AP9)</f>
        <v>-</v>
      </c>
      <c r="AG38" s="435"/>
      <c r="AH38" s="435" t="str">
        <f>IFERROR(Hoja2!AR9,"-")</f>
        <v>-</v>
      </c>
      <c r="AI38" s="435"/>
      <c r="AJ38" s="478"/>
      <c r="AK38" s="478"/>
      <c r="AL38" s="478"/>
      <c r="AM38" s="478"/>
      <c r="AN38" s="478"/>
      <c r="AO38" s="478"/>
      <c r="AP38" s="478"/>
    </row>
    <row r="39" spans="8:42" ht="14.5" thickBot="1" x14ac:dyDescent="0.35">
      <c r="O39" s="458" t="s">
        <v>36</v>
      </c>
      <c r="P39" s="459"/>
      <c r="Q39" s="101" t="str">
        <f>IFERROR(Hoja2!N2,"-")</f>
        <v>-</v>
      </c>
      <c r="R39" s="6"/>
      <c r="S39" s="6"/>
      <c r="T39" s="6"/>
      <c r="U39" s="6"/>
      <c r="AC39" s="433" t="str">
        <f>IF(AF39="-","-",'3.Administración e iluminación'!I13)</f>
        <v>-</v>
      </c>
      <c r="AD39" s="434"/>
      <c r="AE39" s="9" t="str">
        <f>IF(Hoja2!AO10=0,"-",Hoja2!AO10)</f>
        <v>-</v>
      </c>
      <c r="AF39" s="435" t="str">
        <f>IF(Hoja2!AP10=0,"-",Hoja2!AP10)</f>
        <v>-</v>
      </c>
      <c r="AG39" s="435"/>
      <c r="AH39" s="435" t="str">
        <f>IFERROR(Hoja2!AR10,"-")</f>
        <v>-</v>
      </c>
      <c r="AI39" s="435"/>
      <c r="AJ39" s="478"/>
      <c r="AK39" s="478"/>
      <c r="AL39" s="478"/>
      <c r="AM39" s="478"/>
      <c r="AN39" s="478"/>
      <c r="AO39" s="478"/>
      <c r="AP39" s="478"/>
    </row>
    <row r="40" spans="8:42" x14ac:dyDescent="0.3">
      <c r="O40" s="445" t="s">
        <v>37</v>
      </c>
      <c r="P40" s="446"/>
      <c r="Q40" s="101" t="str">
        <f>IFERROR(Hoja2!N3,"-")</f>
        <v>-</v>
      </c>
      <c r="R40" s="6"/>
      <c r="S40" s="6"/>
      <c r="T40" s="110"/>
      <c r="U40" s="110"/>
      <c r="AC40" s="433" t="str">
        <f>IF(AF40="-","-",'3.Administración e iluminación'!I14)</f>
        <v>-</v>
      </c>
      <c r="AD40" s="434"/>
      <c r="AE40" s="9" t="str">
        <f>IF(Hoja2!AO11=0,"-",Hoja2!AO11)</f>
        <v>-</v>
      </c>
      <c r="AF40" s="435" t="str">
        <f>IF(Hoja2!AP11=0,"-",Hoja2!AP11)</f>
        <v>-</v>
      </c>
      <c r="AG40" s="435"/>
      <c r="AH40" s="435" t="str">
        <f>IFERROR(Hoja2!AR11,"-")</f>
        <v>-</v>
      </c>
      <c r="AI40" s="435"/>
      <c r="AJ40" s="478"/>
      <c r="AK40" s="478"/>
      <c r="AL40" s="478"/>
      <c r="AM40" s="478"/>
      <c r="AN40" s="478"/>
      <c r="AO40" s="478"/>
      <c r="AP40" s="478"/>
    </row>
    <row r="41" spans="8:42" ht="14.15" customHeight="1" thickBot="1" x14ac:dyDescent="0.35">
      <c r="O41" s="460" t="s">
        <v>38</v>
      </c>
      <c r="P41" s="461"/>
      <c r="Q41" s="102" t="str">
        <f>IFERROR(Hoja2!N4,"-")</f>
        <v>-</v>
      </c>
      <c r="R41" s="6"/>
      <c r="S41" s="6"/>
      <c r="T41" s="6"/>
      <c r="U41" s="6"/>
      <c r="AC41" s="433" t="str">
        <f>IF(AF41="-","-",'3.Administración e iluminación'!I15)</f>
        <v>-</v>
      </c>
      <c r="AD41" s="434"/>
      <c r="AE41" s="9" t="str">
        <f>IF(Hoja2!AO12=0,"-",Hoja2!AO12)</f>
        <v>-</v>
      </c>
      <c r="AF41" s="435" t="str">
        <f>IF(Hoja2!AP12=0,"-",Hoja2!AP12)</f>
        <v>-</v>
      </c>
      <c r="AG41" s="435"/>
      <c r="AH41" s="435" t="str">
        <f>IFERROR(Hoja2!AR12,"-")</f>
        <v>-</v>
      </c>
      <c r="AI41" s="435"/>
      <c r="AJ41" s="478"/>
      <c r="AK41" s="478"/>
      <c r="AL41" s="478"/>
      <c r="AM41" s="478"/>
      <c r="AN41" s="478"/>
      <c r="AO41" s="478"/>
      <c r="AP41" s="478"/>
    </row>
    <row r="42" spans="8:42" x14ac:dyDescent="0.3">
      <c r="AC42" s="433" t="str">
        <f>IF(AF42="-","-",'3.Administración e iluminación'!I16)</f>
        <v>-</v>
      </c>
      <c r="AD42" s="434"/>
      <c r="AE42" s="9" t="str">
        <f>IF(Hoja2!AO13=0,"-",Hoja2!AO13)</f>
        <v>-</v>
      </c>
      <c r="AF42" s="435" t="str">
        <f>IF(Hoja2!AP13=0,"-",Hoja2!AP13)</f>
        <v>-</v>
      </c>
      <c r="AG42" s="435"/>
      <c r="AH42" s="435" t="str">
        <f>IFERROR(Hoja2!AR13,"-")</f>
        <v>-</v>
      </c>
      <c r="AI42" s="435"/>
      <c r="AJ42" s="478"/>
      <c r="AK42" s="478"/>
      <c r="AL42" s="478"/>
      <c r="AM42" s="478"/>
      <c r="AN42" s="478"/>
      <c r="AO42" s="478"/>
      <c r="AP42" s="478"/>
    </row>
    <row r="43" spans="8:42" x14ac:dyDescent="0.3">
      <c r="O43" s="446" t="s">
        <v>39</v>
      </c>
      <c r="P43" s="446"/>
      <c r="Q43" s="446"/>
      <c r="R43" s="164" t="str">
        <f>IFERROR(Hoja1!BH52,"-")</f>
        <v>-</v>
      </c>
      <c r="S43" s="406" t="s">
        <v>40</v>
      </c>
      <c r="T43" s="406"/>
      <c r="U43" s="406"/>
      <c r="AC43" s="433" t="str">
        <f>IF(AF43="-","-",'3.Administración e iluminación'!I17)</f>
        <v>-</v>
      </c>
      <c r="AD43" s="434"/>
      <c r="AE43" s="9" t="str">
        <f>IF(Hoja2!AO14=0,"-",Hoja2!AO14)</f>
        <v>-</v>
      </c>
      <c r="AF43" s="435" t="str">
        <f>IF(Hoja2!AP14=0,"-",Hoja2!AP14)</f>
        <v>-</v>
      </c>
      <c r="AG43" s="435"/>
      <c r="AH43" s="435" t="str">
        <f>IFERROR(Hoja2!AR14,"-")</f>
        <v>-</v>
      </c>
      <c r="AI43" s="435"/>
      <c r="AJ43" s="478"/>
      <c r="AK43" s="478"/>
      <c r="AL43" s="478"/>
      <c r="AM43" s="478"/>
      <c r="AN43" s="478"/>
      <c r="AO43" s="478"/>
      <c r="AP43" s="478"/>
    </row>
    <row r="44" spans="8:42" x14ac:dyDescent="0.3">
      <c r="O44" s="446" t="s">
        <v>41</v>
      </c>
      <c r="P44" s="446"/>
      <c r="Q44" s="446"/>
      <c r="R44" s="164" t="str">
        <f>IFERROR(Hoja1!BH53,"-")</f>
        <v>-</v>
      </c>
      <c r="S44" s="406"/>
      <c r="T44" s="406"/>
      <c r="U44" s="406"/>
      <c r="AC44" s="433" t="str">
        <f>IF(AF44="-","-",'3.Administración e iluminación'!I18)</f>
        <v>-</v>
      </c>
      <c r="AD44" s="434"/>
      <c r="AE44" s="9" t="str">
        <f>IF(Hoja2!AO15=0,"-",Hoja2!AO15)</f>
        <v>-</v>
      </c>
      <c r="AF44" s="435" t="str">
        <f>IF(Hoja2!AP15=0,"-",Hoja2!AP15)</f>
        <v>-</v>
      </c>
      <c r="AG44" s="435"/>
      <c r="AH44" s="435" t="str">
        <f>IFERROR(Hoja2!AR15,"-")</f>
        <v>-</v>
      </c>
      <c r="AI44" s="435"/>
      <c r="AJ44" s="478"/>
      <c r="AK44" s="478"/>
      <c r="AL44" s="478"/>
      <c r="AM44" s="478"/>
      <c r="AN44" s="478"/>
      <c r="AO44" s="478"/>
      <c r="AP44" s="478"/>
    </row>
    <row r="45" spans="8:42" x14ac:dyDescent="0.3">
      <c r="O45" s="446" t="s">
        <v>42</v>
      </c>
      <c r="P45" s="446"/>
      <c r="Q45" s="446"/>
      <c r="R45" s="14" t="str">
        <f>IFERROR((Hoja1!BI52),"-")</f>
        <v>-</v>
      </c>
      <c r="S45" s="462"/>
      <c r="T45" s="462"/>
      <c r="U45" s="462"/>
      <c r="AC45" s="433" t="str">
        <f>IF(AF45="-","-",'3.Administración e iluminación'!I19)</f>
        <v>-</v>
      </c>
      <c r="AD45" s="434"/>
      <c r="AE45" s="9" t="str">
        <f>IF(Hoja2!AO16=0,"-",Hoja2!AO16)</f>
        <v>-</v>
      </c>
      <c r="AF45" s="435" t="str">
        <f>IF(Hoja2!AP16=0,"-",Hoja2!AP16)</f>
        <v>-</v>
      </c>
      <c r="AG45" s="435"/>
      <c r="AH45" s="435" t="str">
        <f>IFERROR(Hoja2!AR16,"-")</f>
        <v>-</v>
      </c>
      <c r="AI45" s="435"/>
      <c r="AJ45" s="478"/>
      <c r="AK45" s="478"/>
      <c r="AL45" s="478"/>
      <c r="AM45" s="478"/>
      <c r="AN45" s="478"/>
      <c r="AO45" s="478"/>
      <c r="AP45" s="478"/>
    </row>
    <row r="46" spans="8:42" x14ac:dyDescent="0.3">
      <c r="O46" s="446" t="s">
        <v>43</v>
      </c>
      <c r="P46" s="446"/>
      <c r="Q46" s="446"/>
      <c r="R46" s="14" t="str">
        <f>IFERROR(Hoja1!BI53,"-")</f>
        <v>-</v>
      </c>
      <c r="S46" s="463" t="s">
        <v>326</v>
      </c>
      <c r="T46" s="464"/>
      <c r="U46" s="389">
        <f>R47+IF(R46="-","0",R46)</f>
        <v>0</v>
      </c>
      <c r="AC46" s="433" t="str">
        <f>IF(AF46="-","-",'3.Administración e iluminación'!I20)</f>
        <v>-</v>
      </c>
      <c r="AD46" s="434"/>
      <c r="AE46" s="9" t="str">
        <f>IF(Hoja2!AO17=0,"-",Hoja2!AO17)</f>
        <v>-</v>
      </c>
      <c r="AF46" s="435" t="str">
        <f>IF(Hoja2!AP17=0,"-",Hoja2!AP17)</f>
        <v>-</v>
      </c>
      <c r="AG46" s="435"/>
      <c r="AH46" s="435" t="str">
        <f>IFERROR(Hoja2!AR17,"-")</f>
        <v>-</v>
      </c>
      <c r="AI46" s="435"/>
      <c r="AJ46" s="478"/>
      <c r="AK46" s="478"/>
      <c r="AL46" s="478"/>
      <c r="AM46" s="478"/>
      <c r="AN46" s="478"/>
      <c r="AO46" s="478"/>
      <c r="AP46" s="478"/>
    </row>
    <row r="47" spans="8:42" x14ac:dyDescent="0.3">
      <c r="H47" s="402" t="s">
        <v>44</v>
      </c>
      <c r="I47" s="403"/>
      <c r="J47" s="9">
        <f>Hoja1!$BK$18</f>
        <v>0</v>
      </c>
      <c r="R47" s="127" t="str">
        <f>IFERROR((Hoja1!BI52),"0")</f>
        <v>0</v>
      </c>
      <c r="AC47" s="433" t="str">
        <f>IF(AF47="-","-",'3.Administración e iluminación'!I21)</f>
        <v>-</v>
      </c>
      <c r="AD47" s="434"/>
      <c r="AE47" s="9" t="str">
        <f>IF(Hoja2!AO18=0,"-",Hoja2!AO18)</f>
        <v>-</v>
      </c>
      <c r="AF47" s="435" t="str">
        <f>IF(Hoja2!AP18=0,"-",Hoja2!AP18)</f>
        <v>-</v>
      </c>
      <c r="AG47" s="435"/>
      <c r="AH47" s="435" t="str">
        <f>IFERROR(Hoja2!AR18,"-")</f>
        <v>-</v>
      </c>
      <c r="AI47" s="435"/>
      <c r="AJ47" s="478"/>
      <c r="AK47" s="478"/>
      <c r="AL47" s="478"/>
      <c r="AM47" s="478"/>
      <c r="AN47" s="478"/>
      <c r="AO47" s="478"/>
      <c r="AP47" s="478"/>
    </row>
    <row r="48" spans="8:42" x14ac:dyDescent="0.3">
      <c r="AC48" s="433" t="str">
        <f>IF(AF48="-","-",'3.Administración e iluminación'!I22)</f>
        <v>-</v>
      </c>
      <c r="AD48" s="434"/>
      <c r="AE48" s="9" t="str">
        <f>IF(Hoja2!AO19=0,"-",Hoja2!AO19)</f>
        <v>-</v>
      </c>
      <c r="AF48" s="435" t="str">
        <f>IF(Hoja2!AP19=0,"-",Hoja2!AP19)</f>
        <v>-</v>
      </c>
      <c r="AG48" s="435"/>
      <c r="AH48" s="435" t="str">
        <f>IFERROR(Hoja2!AR19,"-")</f>
        <v>-</v>
      </c>
      <c r="AI48" s="435"/>
      <c r="AJ48" s="6"/>
    </row>
    <row r="49" spans="18:36" x14ac:dyDescent="0.3">
      <c r="AC49" s="433" t="str">
        <f>IF(AF49="-","-",'3.Administración e iluminación'!I23)</f>
        <v>-</v>
      </c>
      <c r="AD49" s="434"/>
      <c r="AE49" s="9" t="str">
        <f>IF(Hoja2!AO20=0,"-",Hoja2!AO20)</f>
        <v>-</v>
      </c>
      <c r="AF49" s="435" t="str">
        <f>IF(Hoja2!AP20=0,"-",Hoja2!AP20)</f>
        <v>-</v>
      </c>
      <c r="AG49" s="435"/>
      <c r="AH49" s="435" t="str">
        <f>IFERROR(Hoja2!AR20,"-")</f>
        <v>-</v>
      </c>
      <c r="AI49" s="435"/>
      <c r="AJ49" s="6"/>
    </row>
    <row r="50" spans="18:36" x14ac:dyDescent="0.3">
      <c r="R50" s="128"/>
      <c r="AC50" s="433" t="str">
        <f>IF(AF50="-","-",'3.Administración e iluminación'!I24)</f>
        <v>-</v>
      </c>
      <c r="AD50" s="434"/>
      <c r="AE50" s="9" t="str">
        <f>IF(Hoja2!AO21=0,"-",Hoja2!AO21)</f>
        <v>-</v>
      </c>
      <c r="AF50" s="435" t="str">
        <f>IF(Hoja2!AP21=0,"-",Hoja2!AP21)</f>
        <v>-</v>
      </c>
      <c r="AG50" s="435"/>
      <c r="AH50" s="435" t="str">
        <f>IFERROR(Hoja2!AR21,"-")</f>
        <v>-</v>
      </c>
      <c r="AI50" s="435"/>
      <c r="AJ50" s="6"/>
    </row>
  </sheetData>
  <mergeCells count="146">
    <mergeCell ref="AJ26:AJ31"/>
    <mergeCell ref="AK26:AK28"/>
    <mergeCell ref="AL26:AL28"/>
    <mergeCell ref="AM26:AM28"/>
    <mergeCell ref="AN26:AN28"/>
    <mergeCell ref="AO26:AO28"/>
    <mergeCell ref="AP26:AP31"/>
    <mergeCell ref="AB1:AB2"/>
    <mergeCell ref="AF48:AG48"/>
    <mergeCell ref="AH48:AI48"/>
    <mergeCell ref="AF43:AG43"/>
    <mergeCell ref="AH43:AI43"/>
    <mergeCell ref="AF44:AG44"/>
    <mergeCell ref="AH44:AI44"/>
    <mergeCell ref="AF45:AG45"/>
    <mergeCell ref="AH45:AI45"/>
    <mergeCell ref="AF40:AG40"/>
    <mergeCell ref="AH40:AI40"/>
    <mergeCell ref="AF41:AG41"/>
    <mergeCell ref="AH41:AI41"/>
    <mergeCell ref="AF42:AG42"/>
    <mergeCell ref="AH42:AI42"/>
    <mergeCell ref="AC48:AD48"/>
    <mergeCell ref="AJ34:AP47"/>
    <mergeCell ref="AC29:AI29"/>
    <mergeCell ref="AC49:AD49"/>
    <mergeCell ref="AC50:AD50"/>
    <mergeCell ref="AF31:AG31"/>
    <mergeCell ref="AH31:AI31"/>
    <mergeCell ref="AF32:AG32"/>
    <mergeCell ref="AH32:AI32"/>
    <mergeCell ref="AF33:AG33"/>
    <mergeCell ref="AH33:AI33"/>
    <mergeCell ref="AF34:AG34"/>
    <mergeCell ref="AH34:AI34"/>
    <mergeCell ref="AF35:AG35"/>
    <mergeCell ref="AH35:AI35"/>
    <mergeCell ref="AF36:AG36"/>
    <mergeCell ref="AH36:AI36"/>
    <mergeCell ref="AF37:AG37"/>
    <mergeCell ref="AC43:AD43"/>
    <mergeCell ref="AC44:AD44"/>
    <mergeCell ref="AC45:AD45"/>
    <mergeCell ref="AC46:AD46"/>
    <mergeCell ref="AF49:AG49"/>
    <mergeCell ref="AH49:AI49"/>
    <mergeCell ref="AF50:AG50"/>
    <mergeCell ref="AH50:AI50"/>
    <mergeCell ref="AA1:AA2"/>
    <mergeCell ref="AJ33:AP33"/>
    <mergeCell ref="O44:Q44"/>
    <mergeCell ref="O45:Q45"/>
    <mergeCell ref="AC47:AD47"/>
    <mergeCell ref="AC38:AD38"/>
    <mergeCell ref="AC39:AD39"/>
    <mergeCell ref="AC40:AD40"/>
    <mergeCell ref="AC41:AD41"/>
    <mergeCell ref="AC42:AD42"/>
    <mergeCell ref="AC33:AD33"/>
    <mergeCell ref="AC34:AD34"/>
    <mergeCell ref="AC35:AD35"/>
    <mergeCell ref="AC36:AD36"/>
    <mergeCell ref="AC37:AD37"/>
    <mergeCell ref="AF38:AG38"/>
    <mergeCell ref="AH38:AI38"/>
    <mergeCell ref="AF39:AG39"/>
    <mergeCell ref="AH39:AI39"/>
    <mergeCell ref="AH30:AI30"/>
    <mergeCell ref="AF46:AG46"/>
    <mergeCell ref="AH46:AI46"/>
    <mergeCell ref="AF47:AG47"/>
    <mergeCell ref="AH47:AI47"/>
    <mergeCell ref="O40:P40"/>
    <mergeCell ref="O41:P41"/>
    <mergeCell ref="S43:U45"/>
    <mergeCell ref="S46:T46"/>
    <mergeCell ref="V5:X5"/>
    <mergeCell ref="V6:X6"/>
    <mergeCell ref="V7:X7"/>
    <mergeCell ref="V8:X8"/>
    <mergeCell ref="V9:X9"/>
    <mergeCell ref="V12:X12"/>
    <mergeCell ref="V13:X13"/>
    <mergeCell ref="V14:X14"/>
    <mergeCell ref="AC30:AD30"/>
    <mergeCell ref="AF30:AG30"/>
    <mergeCell ref="AC31:AD31"/>
    <mergeCell ref="AC32:AD32"/>
    <mergeCell ref="AH37:AI37"/>
    <mergeCell ref="AL23:AM23"/>
    <mergeCell ref="H47:I47"/>
    <mergeCell ref="O15:U15"/>
    <mergeCell ref="O16:P16"/>
    <mergeCell ref="S16:T16"/>
    <mergeCell ref="O34:P34"/>
    <mergeCell ref="O35:P35"/>
    <mergeCell ref="O36:P36"/>
    <mergeCell ref="S34:T34"/>
    <mergeCell ref="S35:T35"/>
    <mergeCell ref="S36:T36"/>
    <mergeCell ref="O33:U33"/>
    <mergeCell ref="O37:P37"/>
    <mergeCell ref="Q37:S37"/>
    <mergeCell ref="O43:Q43"/>
    <mergeCell ref="T37:U37"/>
    <mergeCell ref="O38:P38"/>
    <mergeCell ref="O46:Q46"/>
    <mergeCell ref="O39:P39"/>
    <mergeCell ref="H1:I1"/>
    <mergeCell ref="K1:M1"/>
    <mergeCell ref="H15:I15"/>
    <mergeCell ref="K15:M15"/>
    <mergeCell ref="A7:G8"/>
    <mergeCell ref="B9:G9"/>
    <mergeCell ref="B11:G11"/>
    <mergeCell ref="B12:G12"/>
    <mergeCell ref="B10:D10"/>
    <mergeCell ref="F10:G10"/>
    <mergeCell ref="B15:G15"/>
    <mergeCell ref="C13:F13"/>
    <mergeCell ref="A5:A6"/>
    <mergeCell ref="B5:G6"/>
    <mergeCell ref="B16:G16"/>
    <mergeCell ref="B14:G14"/>
    <mergeCell ref="Q38:S38"/>
    <mergeCell ref="T38:U38"/>
    <mergeCell ref="H32:I32"/>
    <mergeCell ref="B17:G17"/>
    <mergeCell ref="V1:X2"/>
    <mergeCell ref="Y1:Y2"/>
    <mergeCell ref="Z1:Z2"/>
    <mergeCell ref="V3:X3"/>
    <mergeCell ref="V4:X4"/>
    <mergeCell ref="V22:X22"/>
    <mergeCell ref="V23:X23"/>
    <mergeCell ref="V24:X24"/>
    <mergeCell ref="V25:X25"/>
    <mergeCell ref="V17:X17"/>
    <mergeCell ref="V18:X18"/>
    <mergeCell ref="V19:X19"/>
    <mergeCell ref="V20:X20"/>
    <mergeCell ref="V21:X21"/>
    <mergeCell ref="V15:X15"/>
    <mergeCell ref="V16:X16"/>
    <mergeCell ref="V10:X10"/>
    <mergeCell ref="V11:X11"/>
  </mergeCells>
  <conditionalFormatting sqref="N15">
    <cfRule type="cellIs" dxfId="4" priority="3" operator="lessThan">
      <formula>0</formula>
    </cfRule>
  </conditionalFormatting>
  <conditionalFormatting sqref="Y3:Y25">
    <cfRule type="cellIs" dxfId="3" priority="2" operator="greaterThan">
      <formula>1</formula>
    </cfRule>
  </conditionalFormatting>
  <conditionalFormatting sqref="AA3:AA25">
    <cfRule type="cellIs" dxfId="2" priority="1" operator="greaterThan">
      <formula>0</formula>
    </cfRule>
  </conditionalFormatting>
  <pageMargins left="0.7" right="0.7" top="0.75" bottom="0.75" header="0.3" footer="0.3"/>
  <pageSetup paperSize="9" scale="9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EE19F-EB37-42A0-B2DC-77E10EAD2748}">
  <dimension ref="A1:FH331"/>
  <sheetViews>
    <sheetView topLeftCell="DC16" zoomScale="80" zoomScaleNormal="80" workbookViewId="0">
      <selection activeCell="DL27" sqref="DL27"/>
    </sheetView>
  </sheetViews>
  <sheetFormatPr baseColWidth="10" defaultColWidth="11" defaultRowHeight="14" x14ac:dyDescent="0.3"/>
  <cols>
    <col min="1" max="1" width="27.33203125" customWidth="1"/>
    <col min="6" max="6" width="24.83203125" bestFit="1" customWidth="1"/>
    <col min="17" max="21" width="12.08203125" customWidth="1"/>
    <col min="34" max="35" width="10.58203125" customWidth="1"/>
    <col min="42" max="42" width="11.6640625" customWidth="1"/>
    <col min="44" max="44" width="14.1640625" customWidth="1"/>
    <col min="45" max="45" width="10.58203125" customWidth="1"/>
    <col min="47" max="47" width="11.5" customWidth="1"/>
    <col min="48" max="48" width="17" customWidth="1"/>
    <col min="49" max="49" width="18.83203125" customWidth="1"/>
    <col min="50" max="50" width="13.58203125" customWidth="1"/>
    <col min="51" max="51" width="13.08203125" customWidth="1"/>
    <col min="52" max="52" width="15" customWidth="1"/>
    <col min="53" max="53" width="12.83203125" customWidth="1"/>
    <col min="57" max="57" width="12.58203125" customWidth="1"/>
    <col min="58" max="58" width="13.33203125" customWidth="1"/>
    <col min="59" max="59" width="16.1640625" customWidth="1"/>
    <col min="63" max="63" width="13.08203125" customWidth="1"/>
    <col min="64" max="64" width="14.83203125" customWidth="1"/>
    <col min="72" max="72" width="14.58203125" customWidth="1"/>
    <col min="73" max="73" width="13.08203125" bestFit="1" customWidth="1"/>
    <col min="78" max="78" width="13" customWidth="1"/>
    <col min="81" max="81" width="12.1640625" customWidth="1"/>
    <col min="90" max="90" width="11.33203125" bestFit="1" customWidth="1"/>
    <col min="91" max="91" width="11.33203125" customWidth="1"/>
    <col min="92" max="92" width="13.08203125" customWidth="1"/>
    <col min="96" max="96" width="13.08203125" bestFit="1" customWidth="1"/>
    <col min="101" max="101" width="11.33203125" bestFit="1" customWidth="1"/>
    <col min="106" max="106" width="12.58203125" customWidth="1"/>
    <col min="122" max="122" width="11.9140625" customWidth="1"/>
    <col min="140" max="140" width="11.1640625" customWidth="1"/>
    <col min="151" max="151" width="13.33203125" customWidth="1"/>
    <col min="157" max="158" width="11.6640625" bestFit="1" customWidth="1"/>
  </cols>
  <sheetData>
    <row r="1" spans="1:164" x14ac:dyDescent="0.3">
      <c r="A1" s="117" t="s">
        <v>118</v>
      </c>
      <c r="B1" s="118" t="s">
        <v>119</v>
      </c>
      <c r="C1" s="118" t="s">
        <v>120</v>
      </c>
      <c r="X1" s="116" t="s">
        <v>121</v>
      </c>
      <c r="Z1" s="116" t="s">
        <v>121</v>
      </c>
      <c r="AA1" s="116">
        <v>0</v>
      </c>
      <c r="AC1" s="116" t="s">
        <v>121</v>
      </c>
    </row>
    <row r="2" spans="1:164" x14ac:dyDescent="0.3">
      <c r="A2" s="36" t="s">
        <v>122</v>
      </c>
      <c r="B2" s="1">
        <f>'7.- UpDate'!D10</f>
        <v>9.48</v>
      </c>
      <c r="C2" s="1">
        <f>'7.- UpDate'!E10</f>
        <v>9.48</v>
      </c>
      <c r="O2">
        <v>220</v>
      </c>
      <c r="P2">
        <v>28</v>
      </c>
      <c r="Q2">
        <v>4</v>
      </c>
      <c r="U2" s="140" t="s">
        <v>364</v>
      </c>
      <c r="V2" s="116" t="s">
        <v>47</v>
      </c>
      <c r="W2" t="s">
        <v>119</v>
      </c>
      <c r="X2" s="116" t="s">
        <v>123</v>
      </c>
      <c r="Z2">
        <v>20</v>
      </c>
      <c r="AA2">
        <v>1</v>
      </c>
      <c r="AB2" s="116" t="s">
        <v>46</v>
      </c>
      <c r="AC2">
        <v>20</v>
      </c>
      <c r="AE2" s="52">
        <v>45139</v>
      </c>
      <c r="AM2" s="116" t="s">
        <v>124</v>
      </c>
      <c r="AO2" s="491" t="s">
        <v>68</v>
      </c>
      <c r="AP2" s="491"/>
      <c r="AQ2" s="491"/>
      <c r="AR2" s="491"/>
      <c r="AU2" s="491" t="s">
        <v>69</v>
      </c>
      <c r="AV2" s="491"/>
      <c r="AW2" s="491"/>
      <c r="AX2" s="491"/>
      <c r="AY2" s="491"/>
      <c r="AZ2" s="63"/>
      <c r="BA2" s="63"/>
      <c r="BC2" s="405" t="s">
        <v>70</v>
      </c>
      <c r="BD2" s="491"/>
      <c r="BE2" s="491"/>
      <c r="BF2" s="491"/>
      <c r="BH2" s="491" t="s">
        <v>71</v>
      </c>
      <c r="BI2" s="491"/>
      <c r="BJ2" s="491"/>
      <c r="BK2" s="491"/>
      <c r="BM2" s="491"/>
      <c r="BN2" s="491"/>
      <c r="BO2" s="491"/>
      <c r="BP2" s="491"/>
      <c r="BR2" s="405" t="s">
        <v>116</v>
      </c>
      <c r="BS2" s="491"/>
      <c r="BT2" s="491"/>
      <c r="BU2" s="491"/>
      <c r="BV2" s="116" t="s">
        <v>125</v>
      </c>
      <c r="BW2" t="str">
        <f>'1.GeneralesEmpresa'!D9</f>
        <v>Octubre</v>
      </c>
      <c r="DK2" s="3" t="s">
        <v>126</v>
      </c>
    </row>
    <row r="3" spans="1:164" x14ac:dyDescent="0.3">
      <c r="A3" s="37" t="s">
        <v>127</v>
      </c>
      <c r="B3" s="1">
        <f>'7.- UpDate'!D11</f>
        <v>0.36030000000000001</v>
      </c>
      <c r="C3" s="1">
        <f>'7.- UpDate'!E11</f>
        <v>0.3327</v>
      </c>
      <c r="O3">
        <v>380</v>
      </c>
      <c r="P3">
        <v>29</v>
      </c>
      <c r="Q3">
        <v>5</v>
      </c>
      <c r="U3" s="140" t="s">
        <v>153</v>
      </c>
      <c r="V3" s="116" t="s">
        <v>128</v>
      </c>
      <c r="W3" t="s">
        <v>129</v>
      </c>
      <c r="X3" s="116" t="s">
        <v>130</v>
      </c>
      <c r="Z3">
        <v>25</v>
      </c>
      <c r="AA3">
        <v>2</v>
      </c>
      <c r="AB3" s="116" t="s">
        <v>131</v>
      </c>
      <c r="AC3">
        <v>22</v>
      </c>
      <c r="AE3" s="52">
        <v>45170</v>
      </c>
      <c r="AG3" s="116" t="s">
        <v>58</v>
      </c>
      <c r="AH3" t="str">
        <f>'2.HistóricoConsumoEnergético'!B4</f>
        <v>Hora Punta</v>
      </c>
      <c r="AI3" t="str">
        <f>'2.HistóricoConsumoEnergético'!C4</f>
        <v>Fuera Punta</v>
      </c>
      <c r="AJ3" s="116" t="s">
        <v>132</v>
      </c>
      <c r="AK3" s="116" t="s">
        <v>73</v>
      </c>
      <c r="AM3" s="116" t="s">
        <v>133</v>
      </c>
      <c r="AO3" s="491"/>
      <c r="AP3" s="491"/>
      <c r="AQ3" s="491"/>
      <c r="AR3" s="491"/>
      <c r="AU3" s="491"/>
      <c r="AV3" s="491"/>
      <c r="AW3" s="491"/>
      <c r="AX3" s="491"/>
      <c r="AY3" s="491"/>
      <c r="AZ3" s="63"/>
      <c r="BA3" s="63"/>
      <c r="BC3" s="491"/>
      <c r="BD3" s="491"/>
      <c r="BE3" s="491"/>
      <c r="BF3" s="491"/>
      <c r="BH3" s="491"/>
      <c r="BI3" s="491"/>
      <c r="BJ3" s="491"/>
      <c r="BK3" s="491"/>
      <c r="BM3" s="491"/>
      <c r="BN3" s="491"/>
      <c r="BO3" s="491"/>
      <c r="BP3" s="491"/>
      <c r="BR3" s="491"/>
      <c r="BS3" s="491"/>
      <c r="BT3" s="491"/>
      <c r="BU3" s="491"/>
      <c r="BV3" s="116" t="s">
        <v>134</v>
      </c>
      <c r="BW3" t="str">
        <f>'1.GeneralesEmpresa'!D10</f>
        <v>Abril</v>
      </c>
      <c r="DI3">
        <v>7.5</v>
      </c>
      <c r="DK3" s="3" t="s">
        <v>135</v>
      </c>
      <c r="DL3">
        <v>5</v>
      </c>
      <c r="DM3">
        <f>DI3/DL3</f>
        <v>1.5</v>
      </c>
    </row>
    <row r="4" spans="1:164" ht="14.15" customHeight="1" x14ac:dyDescent="0.3">
      <c r="A4" s="36" t="s">
        <v>136</v>
      </c>
      <c r="B4" s="1">
        <f>'7.- UpDate'!D12</f>
        <v>0.30120000000000002</v>
      </c>
      <c r="C4" s="1">
        <f>'7.- UpDate'!E12</f>
        <v>0.2782</v>
      </c>
      <c r="O4">
        <v>440</v>
      </c>
      <c r="P4">
        <v>30</v>
      </c>
      <c r="Q4">
        <v>6</v>
      </c>
      <c r="U4" s="140" t="s">
        <v>211</v>
      </c>
      <c r="V4" s="116" t="s">
        <v>137</v>
      </c>
      <c r="W4" t="s">
        <v>138</v>
      </c>
      <c r="X4" s="116" t="s">
        <v>79</v>
      </c>
      <c r="Z4">
        <v>30</v>
      </c>
      <c r="AA4">
        <v>3</v>
      </c>
      <c r="AC4">
        <v>24</v>
      </c>
      <c r="AE4" s="52">
        <v>45200</v>
      </c>
      <c r="AG4" s="52">
        <f>'2.HistóricoConsumoEnergético'!A5</f>
        <v>45170</v>
      </c>
      <c r="AH4">
        <f>'2.HistóricoConsumoEnergético'!B5</f>
        <v>0</v>
      </c>
      <c r="AI4">
        <f>'2.HistóricoConsumoEnergético'!C5</f>
        <v>0</v>
      </c>
      <c r="AJ4">
        <f>AH4+AI4</f>
        <v>0</v>
      </c>
      <c r="AK4">
        <f>'2.HistóricoConsumoEnergético'!D5</f>
        <v>0</v>
      </c>
      <c r="AL4" t="e">
        <f>AK4/AJ4</f>
        <v>#DIV/0!</v>
      </c>
      <c r="AM4" s="116" t="s">
        <v>139</v>
      </c>
      <c r="AO4" s="494" t="s">
        <v>58</v>
      </c>
      <c r="AP4" s="498" t="s">
        <v>132</v>
      </c>
      <c r="AQ4" s="499"/>
      <c r="AR4" s="490" t="s">
        <v>73</v>
      </c>
      <c r="AU4" s="494" t="s">
        <v>58</v>
      </c>
      <c r="AV4" s="494" t="s">
        <v>74</v>
      </c>
      <c r="AW4" s="494" t="s">
        <v>75</v>
      </c>
      <c r="AX4" s="496" t="s">
        <v>76</v>
      </c>
      <c r="AY4" s="490" t="s">
        <v>73</v>
      </c>
      <c r="AZ4" s="119"/>
      <c r="BA4" s="119"/>
      <c r="BC4" s="494" t="s">
        <v>58</v>
      </c>
      <c r="BD4" s="494" t="s">
        <v>74</v>
      </c>
      <c r="BE4" s="494" t="s">
        <v>75</v>
      </c>
      <c r="BF4" s="490" t="s">
        <v>73</v>
      </c>
      <c r="BH4" s="494" t="s">
        <v>58</v>
      </c>
      <c r="BI4" s="494" t="s">
        <v>74</v>
      </c>
      <c r="BJ4" s="494" t="s">
        <v>75</v>
      </c>
      <c r="BK4" s="490" t="s">
        <v>73</v>
      </c>
      <c r="BM4" s="494"/>
      <c r="BN4" s="494"/>
      <c r="BO4" s="494"/>
      <c r="BP4" s="490"/>
      <c r="BR4" s="494" t="s">
        <v>58</v>
      </c>
      <c r="BS4" s="494" t="s">
        <v>74</v>
      </c>
      <c r="BT4" s="529" t="s">
        <v>132</v>
      </c>
      <c r="BU4" s="490" t="s">
        <v>73</v>
      </c>
      <c r="BY4" s="442" t="s">
        <v>140</v>
      </c>
      <c r="BZ4" s="442"/>
      <c r="CA4" s="442"/>
      <c r="CB4" s="442" t="s">
        <v>69</v>
      </c>
      <c r="CC4" s="442"/>
      <c r="CD4" s="442"/>
      <c r="CE4" s="442" t="s">
        <v>141</v>
      </c>
      <c r="CF4" s="442"/>
      <c r="CG4" s="442"/>
      <c r="CH4" s="442" t="s">
        <v>142</v>
      </c>
      <c r="CI4" s="442"/>
      <c r="CJ4" s="442"/>
      <c r="CK4" s="107"/>
      <c r="CL4" s="442" t="s">
        <v>116</v>
      </c>
      <c r="CM4" s="442"/>
      <c r="CN4" s="442"/>
      <c r="CO4" s="442"/>
      <c r="CT4" s="6"/>
      <c r="CU4" s="446" t="s">
        <v>143</v>
      </c>
      <c r="CV4" s="446"/>
      <c r="CW4" s="446"/>
      <c r="CX4" s="446"/>
      <c r="CY4" s="446"/>
      <c r="DB4" s="116" t="s">
        <v>144</v>
      </c>
      <c r="DI4" s="116" t="s">
        <v>145</v>
      </c>
      <c r="DJ4" s="116" t="s">
        <v>146</v>
      </c>
      <c r="DK4" s="3" t="s">
        <v>147</v>
      </c>
      <c r="DL4" s="116" t="s">
        <v>148</v>
      </c>
      <c r="DN4" s="116" t="s">
        <v>149</v>
      </c>
      <c r="DO4" s="116" t="s">
        <v>135</v>
      </c>
      <c r="DR4" s="116" t="s">
        <v>150</v>
      </c>
      <c r="DU4" s="116" t="s">
        <v>150</v>
      </c>
      <c r="DV4" s="116" t="s">
        <v>151</v>
      </c>
      <c r="ER4" s="530" t="s">
        <v>330</v>
      </c>
    </row>
    <row r="5" spans="1:164" ht="20" x14ac:dyDescent="0.3">
      <c r="A5" s="37" t="s">
        <v>152</v>
      </c>
      <c r="B5" s="1">
        <f>'7.- UpDate'!D13</f>
        <v>68.3</v>
      </c>
      <c r="C5" s="1">
        <f>'7.- UpDate'!E13</f>
        <v>66.95</v>
      </c>
      <c r="P5">
        <v>31</v>
      </c>
      <c r="Q5">
        <v>7</v>
      </c>
      <c r="U5" s="140" t="s">
        <v>226</v>
      </c>
      <c r="V5" s="116" t="s">
        <v>153</v>
      </c>
      <c r="W5" t="s">
        <v>120</v>
      </c>
      <c r="Z5">
        <v>35</v>
      </c>
      <c r="AA5">
        <v>4</v>
      </c>
      <c r="AC5">
        <v>26</v>
      </c>
      <c r="AE5" s="52">
        <v>45231</v>
      </c>
      <c r="AG5" s="52">
        <f>'2.HistóricoConsumoEnergético'!A6</f>
        <v>45201</v>
      </c>
      <c r="AH5">
        <f>'2.HistóricoConsumoEnergético'!B6</f>
        <v>0</v>
      </c>
      <c r="AI5">
        <f>'2.HistóricoConsumoEnergético'!C6</f>
        <v>0</v>
      </c>
      <c r="AJ5">
        <f t="shared" ref="AJ5:AJ15" si="0">AH5+AI5</f>
        <v>0</v>
      </c>
      <c r="AK5">
        <f>'2.HistóricoConsumoEnergético'!D6</f>
        <v>0</v>
      </c>
      <c r="AL5" t="e">
        <f t="shared" ref="AL5:AL15" si="1">AK5/AJ5</f>
        <v>#DIV/0!</v>
      </c>
      <c r="AM5" s="116" t="s">
        <v>154</v>
      </c>
      <c r="AO5" s="528"/>
      <c r="AP5" s="61" t="s">
        <v>77</v>
      </c>
      <c r="AQ5" s="61" t="s">
        <v>78</v>
      </c>
      <c r="AR5" s="494"/>
      <c r="AT5" s="110" t="s">
        <v>155</v>
      </c>
      <c r="AU5" s="495"/>
      <c r="AV5" s="495"/>
      <c r="AW5" s="495" t="s">
        <v>75</v>
      </c>
      <c r="AX5" s="497" t="s">
        <v>75</v>
      </c>
      <c r="AY5" s="491"/>
      <c r="AZ5" s="119" t="s">
        <v>100</v>
      </c>
      <c r="BA5" s="119"/>
      <c r="BC5" s="495"/>
      <c r="BD5" s="495"/>
      <c r="BE5" s="495" t="s">
        <v>75</v>
      </c>
      <c r="BF5" s="491"/>
      <c r="BH5" s="495"/>
      <c r="BI5" s="495"/>
      <c r="BJ5" s="495" t="s">
        <v>75</v>
      </c>
      <c r="BK5" s="491"/>
      <c r="BM5" s="495"/>
      <c r="BN5" s="495"/>
      <c r="BO5" s="495"/>
      <c r="BP5" s="491"/>
      <c r="BR5" s="495"/>
      <c r="BS5" s="495"/>
      <c r="BT5" s="495" t="s">
        <v>75</v>
      </c>
      <c r="BU5" s="491"/>
      <c r="BX5" s="116" t="s">
        <v>156</v>
      </c>
      <c r="BY5" s="117" t="s">
        <v>132</v>
      </c>
      <c r="BZ5" s="117" t="s">
        <v>73</v>
      </c>
      <c r="CA5" s="117" t="s">
        <v>157</v>
      </c>
      <c r="CB5" s="117" t="s">
        <v>132</v>
      </c>
      <c r="CC5" s="117" t="s">
        <v>73</v>
      </c>
      <c r="CD5" s="117" t="s">
        <v>157</v>
      </c>
      <c r="CE5" s="117" t="s">
        <v>132</v>
      </c>
      <c r="CF5" s="117" t="s">
        <v>73</v>
      </c>
      <c r="CG5" s="117" t="s">
        <v>157</v>
      </c>
      <c r="CH5" s="117" t="s">
        <v>132</v>
      </c>
      <c r="CI5" s="117" t="s">
        <v>73</v>
      </c>
      <c r="CJ5" s="117" t="s">
        <v>157</v>
      </c>
      <c r="CK5" s="120" t="s">
        <v>158</v>
      </c>
      <c r="CL5" s="120" t="s">
        <v>159</v>
      </c>
      <c r="CM5" s="120" t="s">
        <v>160</v>
      </c>
      <c r="CN5" s="117" t="s">
        <v>73</v>
      </c>
      <c r="CO5" s="117" t="s">
        <v>157</v>
      </c>
      <c r="CP5" s="117" t="s">
        <v>161</v>
      </c>
      <c r="CQ5" s="121" t="s">
        <v>162</v>
      </c>
      <c r="CR5" s="121" t="s">
        <v>163</v>
      </c>
      <c r="CS5" s="121" t="s">
        <v>164</v>
      </c>
      <c r="CT5" s="122" t="s">
        <v>165</v>
      </c>
      <c r="CU5" s="117" t="s">
        <v>166</v>
      </c>
      <c r="CV5" s="117" t="s">
        <v>69</v>
      </c>
      <c r="CW5" s="81" t="s">
        <v>141</v>
      </c>
      <c r="CX5" s="117" t="s">
        <v>142</v>
      </c>
      <c r="CY5" s="117" t="s">
        <v>116</v>
      </c>
      <c r="CZ5" s="121" t="s">
        <v>167</v>
      </c>
      <c r="DB5" s="116" t="s">
        <v>132</v>
      </c>
      <c r="DD5" s="116" t="s">
        <v>89</v>
      </c>
      <c r="DE5" s="110" t="s">
        <v>90</v>
      </c>
      <c r="DF5" s="110" t="s">
        <v>91</v>
      </c>
      <c r="DG5" s="110" t="s">
        <v>168</v>
      </c>
      <c r="DH5" s="110"/>
      <c r="DI5" s="110" t="s">
        <v>169</v>
      </c>
      <c r="DJ5" s="110"/>
      <c r="DK5" s="85"/>
      <c r="DL5" s="110" t="s">
        <v>170</v>
      </c>
      <c r="DM5" s="110" t="s">
        <v>171</v>
      </c>
      <c r="DN5" s="110" t="s">
        <v>172</v>
      </c>
      <c r="DO5" s="110"/>
      <c r="DP5" s="110"/>
      <c r="DR5" s="116" t="s">
        <v>89</v>
      </c>
      <c r="DS5" s="116" t="s">
        <v>90</v>
      </c>
      <c r="DT5" s="116" t="s">
        <v>91</v>
      </c>
      <c r="DU5" s="116" t="s">
        <v>173</v>
      </c>
      <c r="DV5" s="116" t="s">
        <v>174</v>
      </c>
      <c r="DW5" s="116" t="s">
        <v>175</v>
      </c>
      <c r="DX5" s="116" t="s">
        <v>176</v>
      </c>
      <c r="DY5" s="116" t="s">
        <v>177</v>
      </c>
      <c r="DZ5" s="116" t="s">
        <v>178</v>
      </c>
      <c r="EA5" s="116" t="s">
        <v>178</v>
      </c>
      <c r="EB5" s="116" t="s">
        <v>89</v>
      </c>
      <c r="EC5" s="116" t="s">
        <v>90</v>
      </c>
      <c r="ED5" s="116" t="s">
        <v>91</v>
      </c>
      <c r="EF5" t="str">
        <f>DU5</f>
        <v>L1/L2</v>
      </c>
      <c r="EG5" t="str">
        <f t="shared" ref="EG5:EH6" si="2">DV5</f>
        <v xml:space="preserve">L2/L3 </v>
      </c>
      <c r="EH5" t="str">
        <f t="shared" si="2"/>
        <v>L3/L1</v>
      </c>
      <c r="EI5" t="str">
        <f>DX5</f>
        <v>Fase Balanceada</v>
      </c>
      <c r="EJ5" s="89" t="s">
        <v>177</v>
      </c>
      <c r="EK5" s="123" t="s">
        <v>178</v>
      </c>
      <c r="EL5" s="123" t="s">
        <v>89</v>
      </c>
      <c r="EM5" s="123" t="s">
        <v>90</v>
      </c>
      <c r="EN5" s="124" t="s">
        <v>91</v>
      </c>
      <c r="ER5" s="530"/>
      <c r="ET5" s="134" t="s">
        <v>331</v>
      </c>
      <c r="EU5" s="134" t="s">
        <v>332</v>
      </c>
      <c r="FA5" s="167" t="s">
        <v>374</v>
      </c>
      <c r="FB5" s="167" t="s">
        <v>375</v>
      </c>
    </row>
    <row r="6" spans="1:164" ht="20" x14ac:dyDescent="0.3">
      <c r="A6" s="36" t="s">
        <v>179</v>
      </c>
      <c r="B6" s="1">
        <f>'7.- UpDate'!D14</f>
        <v>83.72</v>
      </c>
      <c r="C6" s="1">
        <f>'7.- UpDate'!E14</f>
        <v>16</v>
      </c>
      <c r="Q6">
        <v>8</v>
      </c>
      <c r="U6" s="313" t="s">
        <v>482</v>
      </c>
      <c r="V6" s="116" t="s">
        <v>180</v>
      </c>
      <c r="W6" t="s">
        <v>181</v>
      </c>
      <c r="Z6">
        <v>40</v>
      </c>
      <c r="AA6">
        <v>5</v>
      </c>
      <c r="AC6">
        <v>28</v>
      </c>
      <c r="AE6" s="52">
        <v>45261</v>
      </c>
      <c r="AG6" s="52">
        <f>'2.HistóricoConsumoEnergético'!A7</f>
        <v>45232</v>
      </c>
      <c r="AH6">
        <f>'2.HistóricoConsumoEnergético'!B7</f>
        <v>0</v>
      </c>
      <c r="AI6">
        <f>'2.HistóricoConsumoEnergético'!C7</f>
        <v>0</v>
      </c>
      <c r="AJ6">
        <f t="shared" si="0"/>
        <v>0</v>
      </c>
      <c r="AK6">
        <f>'2.HistóricoConsumoEnergético'!D7</f>
        <v>0</v>
      </c>
      <c r="AL6" t="e">
        <f t="shared" si="1"/>
        <v>#DIV/0!</v>
      </c>
      <c r="AM6" s="116" t="s">
        <v>182</v>
      </c>
      <c r="AO6" s="62">
        <f>'2.HistóricoConsumoEnergético'!A5</f>
        <v>45170</v>
      </c>
      <c r="AP6" s="1">
        <f>'2.HistóricoConsumoEnergético'!B5</f>
        <v>0</v>
      </c>
      <c r="AQ6" s="1">
        <f>'2.HistóricoConsumoEnergético'!C5</f>
        <v>0</v>
      </c>
      <c r="AR6" s="9">
        <f>'2.HistóricoConsumoEnergético'!D5</f>
        <v>0</v>
      </c>
      <c r="AS6">
        <f>AP6+AQ6</f>
        <v>0</v>
      </c>
      <c r="AT6" s="9" t="str">
        <f t="shared" ref="AT6:AT17" si="3">IFERROR((AR6/(AP6+AQ6)),"-")</f>
        <v>-</v>
      </c>
      <c r="AU6" s="52">
        <f>'2.HistóricoConsumoEnergético'!G5</f>
        <v>45170</v>
      </c>
      <c r="AV6" s="52" t="str">
        <f>'2.HistóricoConsumoEnergético'!H5</f>
        <v>Balón de 10kg</v>
      </c>
      <c r="AW6">
        <f>'2.HistóricoConsumoEnergético'!I5</f>
        <v>0</v>
      </c>
      <c r="AX6">
        <f>'2.HistóricoConsumoEnergético'!J5</f>
        <v>0</v>
      </c>
      <c r="AY6" s="4">
        <f>'2.HistóricoConsumoEnergético'!K5</f>
        <v>0</v>
      </c>
      <c r="AZ6" s="66">
        <f>AW6*$AX$31</f>
        <v>0</v>
      </c>
      <c r="BC6" s="52">
        <f>'2.HistóricoConsumoEnergético'!M5</f>
        <v>45170</v>
      </c>
      <c r="BD6" s="52" t="str">
        <f>'2.HistóricoConsumoEnergético'!N5</f>
        <v>m3</v>
      </c>
      <c r="BE6">
        <f>'2.HistóricoConsumoEnergético'!O5</f>
        <v>0</v>
      </c>
      <c r="BF6" s="4">
        <f>'2.HistóricoConsumoEnergético'!P5</f>
        <v>0</v>
      </c>
      <c r="BG6" s="66">
        <f>BE6*$AV$23</f>
        <v>0</v>
      </c>
      <c r="BH6" s="52">
        <f>'2.HistóricoConsumoEnergético'!R5</f>
        <v>45170</v>
      </c>
      <c r="BI6" t="str">
        <f>'2.HistóricoConsumoEnergético'!S5</f>
        <v>gal</v>
      </c>
      <c r="BJ6">
        <f>'2.HistóricoConsumoEnergético'!T5</f>
        <v>0</v>
      </c>
      <c r="BK6" s="4">
        <f>'2.HistóricoConsumoEnergético'!U5</f>
        <v>0</v>
      </c>
      <c r="BL6" s="65">
        <f>BJ6*$AV$24</f>
        <v>0</v>
      </c>
      <c r="BM6" s="52">
        <f>'2.HistóricoConsumoEnergético'!W5</f>
        <v>0</v>
      </c>
      <c r="BN6">
        <f>'2.HistóricoConsumoEnergético'!X5</f>
        <v>0</v>
      </c>
      <c r="BO6">
        <f>'2.HistóricoConsumoEnergético'!Y5</f>
        <v>0</v>
      </c>
      <c r="BQ6">
        <f>'1.GeneralesEmpresa'!H13</f>
        <v>0</v>
      </c>
      <c r="BR6" s="52">
        <f>BH6</f>
        <v>45170</v>
      </c>
      <c r="BS6">
        <v>0</v>
      </c>
      <c r="BT6" s="65">
        <f>((AZ6+BG6+BL6)*0.000293071)+AS6</f>
        <v>0</v>
      </c>
      <c r="BU6" s="4">
        <f>AR6+AY6+BF6+BK6</f>
        <v>0</v>
      </c>
      <c r="BV6" s="52">
        <f>BR6</f>
        <v>45170</v>
      </c>
      <c r="BX6" s="52">
        <f>BR6</f>
        <v>45170</v>
      </c>
      <c r="BY6" s="1">
        <f>AS6</f>
        <v>0</v>
      </c>
      <c r="BZ6" s="9">
        <f>AR6</f>
        <v>0</v>
      </c>
      <c r="CA6" s="67" t="str">
        <f>IFERROR(BZ6/BY6,"0")</f>
        <v>0</v>
      </c>
      <c r="CB6" s="1">
        <f>AZ6*$BA$20</f>
        <v>0</v>
      </c>
      <c r="CC6" s="9">
        <f>AY6</f>
        <v>0</v>
      </c>
      <c r="CD6" s="67" t="str">
        <f>IFERROR(CC6/CB6,"0")</f>
        <v>0</v>
      </c>
      <c r="CE6" s="68">
        <f>BG6*$BA$20</f>
        <v>0</v>
      </c>
      <c r="CF6" s="9">
        <f>BF6</f>
        <v>0</v>
      </c>
      <c r="CG6" s="9" t="str">
        <f>IFERROR(CF6/CE6,"0")</f>
        <v>0</v>
      </c>
      <c r="CH6" s="68">
        <f>BL6*$BA$20</f>
        <v>0</v>
      </c>
      <c r="CI6" s="9">
        <f>BK6</f>
        <v>0</v>
      </c>
      <c r="CJ6" s="1" t="str">
        <f>IFERROR(CI6/CH6,"0")</f>
        <v>0</v>
      </c>
      <c r="CK6" s="68">
        <f>BY6</f>
        <v>0</v>
      </c>
      <c r="CL6" s="68">
        <f>CB6+CE6+CH6</f>
        <v>0</v>
      </c>
      <c r="CM6" s="68" t="e">
        <f>(CC6+CF6+CI6)/CL6</f>
        <v>#DIV/0!</v>
      </c>
      <c r="CN6" s="67">
        <f>BZ6+CC6+CF6+CI6</f>
        <v>0</v>
      </c>
      <c r="CO6" s="67">
        <f>CA6+CD6+CG6+CJ6</f>
        <v>0</v>
      </c>
      <c r="CP6" s="1">
        <f>Hoja2!B1</f>
        <v>0</v>
      </c>
      <c r="CQ6" s="66" t="e">
        <f>CL6/CP6</f>
        <v>#DIV/0!</v>
      </c>
      <c r="CR6" s="66" t="str">
        <f>IFERROR(BY6/'1.GeneralesEmpresa'!G13,"-")</f>
        <v>-</v>
      </c>
      <c r="CS6" t="e">
        <f>CN6/'1.GeneralesEmpresa'!$G$10</f>
        <v>#DIV/0!</v>
      </c>
      <c r="CT6" s="80" t="str">
        <f>IFERROR(CN6/'1.GeneralesEmpresa'!G13,"-")</f>
        <v>-</v>
      </c>
      <c r="CU6" s="1">
        <f>'7.- UpDate'!$B$2*BY6</f>
        <v>0</v>
      </c>
      <c r="CV6" s="1">
        <f>IFERROR((0.234*CB6),"0")</f>
        <v>0</v>
      </c>
      <c r="CW6" s="68">
        <f>CE6*0.2016</f>
        <v>0</v>
      </c>
      <c r="CX6" s="68">
        <f>CH6*0.2628</f>
        <v>0</v>
      </c>
      <c r="CY6" s="68">
        <f>CU6+CV6+CW6+CX6</f>
        <v>0</v>
      </c>
      <c r="CZ6" s="66" t="str">
        <f>IFERROR(CY6/'1.GeneralesEmpresa'!G13,"-")</f>
        <v>-</v>
      </c>
      <c r="DB6" s="66">
        <f>CB6+CE6+CH6</f>
        <v>0</v>
      </c>
      <c r="DC6" t="str">
        <f>IF('4.Ident.Princip.Consumos'!M7="Monofásico","Monofásico","Trifásico")</f>
        <v>Monofásico</v>
      </c>
      <c r="DD6" s="84" t="str">
        <f>IF('4.Ident.Princip.Consumos'!J7="","-",'4.Ident.Princip.Consumos'!J7)</f>
        <v>-</v>
      </c>
      <c r="DE6" s="84" t="str">
        <f>IF('4.Ident.Princip.Consumos'!K7="","-",'4.Ident.Princip.Consumos'!K7)</f>
        <v>-</v>
      </c>
      <c r="DF6" s="84" t="str">
        <f>IF('4.Ident.Princip.Consumos'!L7="","-",'4.Ident.Princip.Consumos'!L7)</f>
        <v>-</v>
      </c>
      <c r="DG6" t="e">
        <f>AVERAGE(DD6:DF6)</f>
        <v>#DIV/0!</v>
      </c>
      <c r="DH6" t="str">
        <f>DC6</f>
        <v>Monofásico</v>
      </c>
      <c r="DI6" t="e">
        <f>('4.Ident.Princip.Consumos'!I7*Hoja1!DG6*'4.Ident.Princip.Consumos'!$E$30*1.732)/1000</f>
        <v>#DIV/0!</v>
      </c>
      <c r="DJ6" t="e">
        <f>('4.Ident.Princip.Consumos'!I7*Hoja1!DD6*'4.Ident.Princip.Consumos'!$E$30)/1000</f>
        <v>#VALUE!</v>
      </c>
      <c r="DK6" s="3" t="e">
        <f>IF(DH6="Monofásico",DJ6,DI6)</f>
        <v>#VALUE!</v>
      </c>
      <c r="DL6" t="e">
        <f>(CS28*CU28)/'4.Ident.Princip.Consumos'!$E$31</f>
        <v>#VALUE!</v>
      </c>
      <c r="DM6" s="72" t="e">
        <f>DK6/DL6</f>
        <v>#VALUE!</v>
      </c>
      <c r="DN6" s="3" t="e">
        <f>DL6/('4.Ident.Princip.Consumos'!$E$30*'4.Ident.Princip.Consumos'!I7*1.732)*1000</f>
        <v>#VALUE!</v>
      </c>
      <c r="DO6" s="3" t="e">
        <f>DL6/('4.Ident.Princip.Consumos'!$E$30*'4.Ident.Princip.Consumos'!I7)*1000</f>
        <v>#VALUE!</v>
      </c>
      <c r="DP6" s="3" t="e">
        <f>IF(DH6="Monofásico",DO6,DN6)</f>
        <v>#VALUE!</v>
      </c>
      <c r="DQ6" t="e">
        <f>DN6*'4.Ident.Princip.Consumos'!I7*0.8*1.732/1000</f>
        <v>#VALUE!</v>
      </c>
      <c r="DR6" s="72" t="str">
        <f t="shared" ref="DR6:DT21" si="4">IFERROR((DD6/$DP6),"-")</f>
        <v>-</v>
      </c>
      <c r="DS6" s="72" t="str">
        <f t="shared" si="4"/>
        <v>-</v>
      </c>
      <c r="DT6" s="72" t="str">
        <f t="shared" si="4"/>
        <v>-</v>
      </c>
      <c r="DU6" s="72" t="str">
        <f>IFERROR(((DD6/DE6)),"-")</f>
        <v>-</v>
      </c>
      <c r="DV6" s="72" t="str">
        <f>IFERROR(((DE6/DF6)),"-")</f>
        <v>-</v>
      </c>
      <c r="DW6" s="72" t="str">
        <f>IFERROR((DF6/DD6),"-")</f>
        <v>-</v>
      </c>
      <c r="DX6" s="72" t="str">
        <f>IF(DY6="-","-",100%)</f>
        <v>-</v>
      </c>
      <c r="DY6" t="str">
        <f>CO28</f>
        <v>-</v>
      </c>
      <c r="DZ6" t="str">
        <f>IFERROR(DP6,"-")</f>
        <v>-</v>
      </c>
      <c r="EA6" s="72" t="str">
        <f>IF(DY6="-","-",100%)</f>
        <v>-</v>
      </c>
      <c r="EB6" s="73" t="str">
        <f>DR6</f>
        <v>-</v>
      </c>
      <c r="EC6" s="73" t="str">
        <f>DS6</f>
        <v>-</v>
      </c>
      <c r="ED6" s="73" t="str">
        <f>DT6</f>
        <v>-</v>
      </c>
      <c r="EE6" s="73" t="str">
        <f>DY6</f>
        <v>-</v>
      </c>
      <c r="EF6" s="72" t="str">
        <f t="shared" ref="EF6" si="5">DU6</f>
        <v>-</v>
      </c>
      <c r="EG6" s="72" t="str">
        <f t="shared" si="2"/>
        <v>-</v>
      </c>
      <c r="EH6" s="72" t="str">
        <f t="shared" si="2"/>
        <v>-</v>
      </c>
      <c r="EI6" s="72" t="str">
        <f t="shared" ref="EI6" si="6">DX6</f>
        <v>-</v>
      </c>
      <c r="EJ6" s="7" t="str">
        <f>DY6</f>
        <v>-</v>
      </c>
      <c r="EK6" s="87" t="str">
        <f t="shared" ref="EK6:EN6" si="7">EA6</f>
        <v>-</v>
      </c>
      <c r="EL6" s="87" t="str">
        <f t="shared" si="7"/>
        <v>-</v>
      </c>
      <c r="EM6" s="87" t="str">
        <f t="shared" si="7"/>
        <v>-</v>
      </c>
      <c r="EN6" s="88" t="str">
        <f t="shared" si="7"/>
        <v>-</v>
      </c>
      <c r="EQ6" s="73" t="e">
        <f>DM6</f>
        <v>#VALUE!</v>
      </c>
      <c r="ER6" t="e">
        <f>DK6-DL6</f>
        <v>#VALUE!</v>
      </c>
      <c r="ES6" t="e">
        <f>IF(ER6&lt;0,0,ER6)</f>
        <v>#VALUE!</v>
      </c>
      <c r="ET6" t="e">
        <f>CW28*CX28*4.34*12*ES6</f>
        <v>#VALUE!</v>
      </c>
      <c r="EU6" s="11" t="str">
        <f>IF(ISERROR(ET6*$AT$19),"-",(ET6*$AT$19))</f>
        <v>-</v>
      </c>
      <c r="EX6">
        <f>'4.Ident.Princip.Consumos'!O7</f>
        <v>0</v>
      </c>
      <c r="EY6">
        <f>'4.Ident.Princip.Consumos'!P7</f>
        <v>0</v>
      </c>
      <c r="EZ6">
        <f>'4.Ident.Princip.Consumos'!Q7</f>
        <v>0</v>
      </c>
      <c r="FA6" s="11" t="e">
        <f>((((((EX6+EY6+EZ6)/3))*1.732*'4.Ident.Princip.Consumos'!I7*'4.Ident.Princip.Consumos'!$E$30)/1000)*'4.Ident.Princip.Consumos'!G7*4.34*12)*$AT$19</f>
        <v>#DIV/0!</v>
      </c>
      <c r="FB6" t="e">
        <f>(((EX6*'4.Ident.Princip.Consumos'!$E$30*'4.Ident.Princip.Consumos'!I7)/1000)*'4.Ident.Princip.Consumos'!G7*4.34*12)*$AT$19</f>
        <v>#DIV/0!</v>
      </c>
      <c r="FC6" t="e">
        <f>IF(DH6="Monofásico",FB6,FA6)</f>
        <v>#DIV/0!</v>
      </c>
      <c r="FD6" t="e">
        <f>IF(FC6=0,"-",FC6)</f>
        <v>#DIV/0!</v>
      </c>
      <c r="FH6" s="73">
        <f>(1-'4.Ident.Princip.Consumos'!E31)+1</f>
        <v>1.1499999999999999</v>
      </c>
    </row>
    <row r="7" spans="1:164" ht="20" x14ac:dyDescent="0.3">
      <c r="A7" s="37" t="s">
        <v>183</v>
      </c>
      <c r="B7" s="1">
        <f>'7.- UpDate'!D15</f>
        <v>64.09</v>
      </c>
      <c r="C7" s="1">
        <f>'7.- UpDate'!E15</f>
        <v>16.45</v>
      </c>
      <c r="Q7">
        <v>9</v>
      </c>
      <c r="U7" s="313" t="s">
        <v>200</v>
      </c>
      <c r="V7" s="116" t="s">
        <v>184</v>
      </c>
      <c r="W7" t="s">
        <v>185</v>
      </c>
      <c r="X7" s="140" t="s">
        <v>340</v>
      </c>
      <c r="Z7">
        <v>45</v>
      </c>
      <c r="AA7">
        <v>6</v>
      </c>
      <c r="AC7">
        <v>30</v>
      </c>
      <c r="AE7" s="52">
        <v>45292</v>
      </c>
      <c r="AG7" s="52">
        <f>'2.HistóricoConsumoEnergético'!A8</f>
        <v>45263</v>
      </c>
      <c r="AH7">
        <f>'2.HistóricoConsumoEnergético'!B8</f>
        <v>0</v>
      </c>
      <c r="AI7">
        <f>'2.HistóricoConsumoEnergético'!C8</f>
        <v>0</v>
      </c>
      <c r="AJ7">
        <f t="shared" si="0"/>
        <v>0</v>
      </c>
      <c r="AK7">
        <f>'2.HistóricoConsumoEnergético'!D8</f>
        <v>0</v>
      </c>
      <c r="AL7" t="e">
        <f t="shared" si="1"/>
        <v>#DIV/0!</v>
      </c>
      <c r="AM7" s="116" t="s">
        <v>57</v>
      </c>
      <c r="AO7" s="62">
        <f>'2.HistóricoConsumoEnergético'!A6</f>
        <v>45201</v>
      </c>
      <c r="AP7" s="1">
        <f>'2.HistóricoConsumoEnergético'!B6</f>
        <v>0</v>
      </c>
      <c r="AQ7" s="1">
        <f>'2.HistóricoConsumoEnergético'!C6</f>
        <v>0</v>
      </c>
      <c r="AR7" s="9">
        <f>'2.HistóricoConsumoEnergético'!D6</f>
        <v>0</v>
      </c>
      <c r="AS7">
        <f t="shared" ref="AS7:AS16" si="8">AP7+AQ7</f>
        <v>0</v>
      </c>
      <c r="AT7" s="9" t="str">
        <f t="shared" si="3"/>
        <v>-</v>
      </c>
      <c r="AU7" s="52">
        <f>'2.HistóricoConsumoEnergético'!G6</f>
        <v>45201</v>
      </c>
      <c r="AV7" s="52" t="str">
        <f>'2.HistóricoConsumoEnergético'!H6</f>
        <v>Balón de 10kg</v>
      </c>
      <c r="AW7">
        <f>'2.HistóricoConsumoEnergético'!I6</f>
        <v>0</v>
      </c>
      <c r="AX7">
        <f>'2.HistóricoConsumoEnergético'!J6</f>
        <v>0</v>
      </c>
      <c r="AY7" s="4">
        <f>'2.HistóricoConsumoEnergético'!K6</f>
        <v>0</v>
      </c>
      <c r="AZ7" s="66">
        <f t="shared" ref="AZ7:AZ17" si="9">AW7*$AX$31</f>
        <v>0</v>
      </c>
      <c r="BC7" s="52">
        <f>'2.HistóricoConsumoEnergético'!M6</f>
        <v>45201</v>
      </c>
      <c r="BD7" s="52" t="str">
        <f>'2.HistóricoConsumoEnergético'!N6</f>
        <v>m3</v>
      </c>
      <c r="BE7">
        <f>'2.HistóricoConsumoEnergético'!O6</f>
        <v>0</v>
      </c>
      <c r="BF7" s="4">
        <f>'2.HistóricoConsumoEnergético'!P6</f>
        <v>0</v>
      </c>
      <c r="BG7" s="66">
        <f t="shared" ref="BG7:BG17" si="10">BE7*$AV$23</f>
        <v>0</v>
      </c>
      <c r="BH7" s="52">
        <f>'2.HistóricoConsumoEnergético'!R6</f>
        <v>45201</v>
      </c>
      <c r="BI7" t="str">
        <f>'2.HistóricoConsumoEnergético'!S6</f>
        <v>gal</v>
      </c>
      <c r="BJ7">
        <f>'2.HistóricoConsumoEnergético'!T6</f>
        <v>0</v>
      </c>
      <c r="BK7" s="4">
        <f>'2.HistóricoConsumoEnergético'!U6</f>
        <v>0</v>
      </c>
      <c r="BL7" s="65">
        <f t="shared" ref="BL7:BL17" si="11">BJ7*$AV$24</f>
        <v>0</v>
      </c>
      <c r="BM7" s="52">
        <f>'2.HistóricoConsumoEnergético'!W6</f>
        <v>0</v>
      </c>
      <c r="BN7">
        <f>'2.HistóricoConsumoEnergético'!X6</f>
        <v>0</v>
      </c>
      <c r="BO7">
        <f>'2.HistóricoConsumoEnergético'!Y6</f>
        <v>0</v>
      </c>
      <c r="BQ7">
        <f>'1.GeneralesEmpresa'!H14</f>
        <v>0</v>
      </c>
      <c r="BR7" s="52">
        <f t="shared" ref="BR7:BR17" si="12">BH7</f>
        <v>45201</v>
      </c>
      <c r="BS7">
        <v>0</v>
      </c>
      <c r="BT7" s="65">
        <f t="shared" ref="BT7:BT17" si="13">((AZ7+BG7+BL7)*0.000293071)+AS7</f>
        <v>0</v>
      </c>
      <c r="BU7" s="4">
        <f t="shared" ref="BU7:BU17" si="14">AR7+AY7+BF7+BK7</f>
        <v>0</v>
      </c>
      <c r="BV7" s="52">
        <f t="shared" ref="BV7:BV17" si="15">BR7</f>
        <v>45201</v>
      </c>
      <c r="BX7" s="52">
        <f t="shared" ref="BX7:BX17" si="16">BR7</f>
        <v>45201</v>
      </c>
      <c r="BY7" s="1">
        <f t="shared" ref="BY7:BY17" si="17">AS7</f>
        <v>0</v>
      </c>
      <c r="BZ7" s="9">
        <f t="shared" ref="BZ7:BZ17" si="18">AR7</f>
        <v>0</v>
      </c>
      <c r="CA7" s="67" t="str">
        <f t="shared" ref="CA7:CA17" si="19">IFERROR(BZ7/BY7,"0")</f>
        <v>0</v>
      </c>
      <c r="CB7" s="1">
        <f t="shared" ref="CB7:CB17" si="20">AZ7*$BA$20</f>
        <v>0</v>
      </c>
      <c r="CC7" s="9">
        <f t="shared" ref="CC7:CC17" si="21">AY7</f>
        <v>0</v>
      </c>
      <c r="CD7" s="67" t="str">
        <f t="shared" ref="CD7:CD17" si="22">IFERROR(CC7/CB7,"0")</f>
        <v>0</v>
      </c>
      <c r="CE7" s="68">
        <f t="shared" ref="CE7:CE17" si="23">BG7*$BA$20</f>
        <v>0</v>
      </c>
      <c r="CF7" s="9">
        <f t="shared" ref="CF7:CF17" si="24">BF7</f>
        <v>0</v>
      </c>
      <c r="CG7" s="9" t="str">
        <f t="shared" ref="CG7:CG17" si="25">IFERROR(CF7/CE7,"0")</f>
        <v>0</v>
      </c>
      <c r="CH7" s="68">
        <f t="shared" ref="CH7:CH17" si="26">BL7*$BA$20</f>
        <v>0</v>
      </c>
      <c r="CI7" s="9">
        <f t="shared" ref="CI7:CI17" si="27">BK7</f>
        <v>0</v>
      </c>
      <c r="CJ7" s="1" t="str">
        <f t="shared" ref="CJ7:CJ17" si="28">IFERROR(CI7/CH7,"0")</f>
        <v>0</v>
      </c>
      <c r="CK7" s="68">
        <f t="shared" ref="CK7:CK17" si="29">BY7</f>
        <v>0</v>
      </c>
      <c r="CL7" s="68">
        <f t="shared" ref="CL7:CL17" si="30">CB7+CE7+CH7</f>
        <v>0</v>
      </c>
      <c r="CM7" s="68" t="e">
        <f t="shared" ref="CM7:CM17" si="31">(CC7+CF7+CI7)/CL7</f>
        <v>#DIV/0!</v>
      </c>
      <c r="CN7" s="67">
        <f t="shared" ref="CN7:CN17" si="32">BZ7+CC7+CF7+CI7</f>
        <v>0</v>
      </c>
      <c r="CO7" s="67">
        <f t="shared" ref="CO7:CO17" si="33">CA7+CD7+CG7+CJ7</f>
        <v>0</v>
      </c>
      <c r="CP7" s="1">
        <f>Hoja2!B2</f>
        <v>0</v>
      </c>
      <c r="CQ7" s="66" t="e">
        <f t="shared" ref="CQ7:CQ16" si="34">CL7/CP7</f>
        <v>#DIV/0!</v>
      </c>
      <c r="CR7" s="66" t="str">
        <f>IFERROR(BY7/'1.GeneralesEmpresa'!G14,"-")</f>
        <v>-</v>
      </c>
      <c r="CS7" t="e">
        <f>CN7/'1.GeneralesEmpresa'!$G$10</f>
        <v>#DIV/0!</v>
      </c>
      <c r="CT7" s="80" t="str">
        <f>IFERROR(CN7/'1.GeneralesEmpresa'!G14,"-")</f>
        <v>-</v>
      </c>
      <c r="CU7" s="1">
        <f>'7.- UpDate'!$B$2*BY7</f>
        <v>0</v>
      </c>
      <c r="CV7" s="1">
        <f t="shared" ref="CV7:CV17" si="35">IFERROR((0.234*CB7),"0")</f>
        <v>0</v>
      </c>
      <c r="CW7" s="68">
        <f t="shared" ref="CW7:CW17" si="36">CE7*0.2016</f>
        <v>0</v>
      </c>
      <c r="CX7" s="68">
        <f t="shared" ref="CX7:CX17" si="37">CH7*0.2628</f>
        <v>0</v>
      </c>
      <c r="CY7" s="68">
        <f t="shared" ref="CY7:CY17" si="38">CU7+CV7+CW7+CX7</f>
        <v>0</v>
      </c>
      <c r="CZ7" s="66" t="str">
        <f>IFERROR(CY7/'1.GeneralesEmpresa'!G14,"-")</f>
        <v>-</v>
      </c>
      <c r="DB7" s="66">
        <f t="shared" ref="DB7:DB17" si="39">CB7+CE7+CH7</f>
        <v>0</v>
      </c>
      <c r="DC7" t="str">
        <f>IF('4.Ident.Princip.Consumos'!M8="Monofásico","Monofásico","Trifásico")</f>
        <v>Monofásico</v>
      </c>
      <c r="DD7" s="84" t="str">
        <f>IF('4.Ident.Princip.Consumos'!J8="","-",'4.Ident.Princip.Consumos'!J8)</f>
        <v>-</v>
      </c>
      <c r="DE7" s="84" t="str">
        <f>IF('4.Ident.Princip.Consumos'!K8="","-",'4.Ident.Princip.Consumos'!K8)</f>
        <v>-</v>
      </c>
      <c r="DF7" s="84" t="str">
        <f>IF('4.Ident.Princip.Consumos'!L8="","-",'4.Ident.Princip.Consumos'!L8)</f>
        <v>-</v>
      </c>
      <c r="DG7" t="e">
        <f t="shared" ref="DG7:DG28" si="40">AVERAGE(DD7:DF7)</f>
        <v>#DIV/0!</v>
      </c>
      <c r="DH7" t="str">
        <f t="shared" ref="DH7:DH26" si="41">DC7</f>
        <v>Monofásico</v>
      </c>
      <c r="DI7" t="e">
        <f>('4.Ident.Princip.Consumos'!I8*Hoja1!DG7*'4.Ident.Princip.Consumos'!$E$30*1.732)/1000</f>
        <v>#DIV/0!</v>
      </c>
      <c r="DJ7" t="e">
        <f>('4.Ident.Princip.Consumos'!I8*Hoja1!DD7*'4.Ident.Princip.Consumos'!$E$30)/1000</f>
        <v>#VALUE!</v>
      </c>
      <c r="DK7" s="3" t="e">
        <f t="shared" ref="DK7:DK28" si="42">IF(DH7="Monofásico",DJ7,DI7)</f>
        <v>#VALUE!</v>
      </c>
      <c r="DL7" t="e">
        <f>(CS29*CU29)/'4.Ident.Princip.Consumos'!$E$31</f>
        <v>#VALUE!</v>
      </c>
      <c r="DM7" s="72" t="e">
        <f t="shared" ref="DM7:DM28" si="43">DK7/DL7</f>
        <v>#VALUE!</v>
      </c>
      <c r="DN7" s="3" t="e">
        <f>DL7/('4.Ident.Princip.Consumos'!$E$30*'4.Ident.Princip.Consumos'!I8*1.732)*1000</f>
        <v>#VALUE!</v>
      </c>
      <c r="DO7" s="3" t="e">
        <f>DL7/('4.Ident.Princip.Consumos'!$E$30*'4.Ident.Princip.Consumos'!I8)*1000</f>
        <v>#VALUE!</v>
      </c>
      <c r="DP7" s="3" t="e">
        <f t="shared" ref="DP7:DP27" si="44">IF(DH7="Monofásico",DO7,DN7)</f>
        <v>#VALUE!</v>
      </c>
      <c r="DQ7" t="e">
        <f>DN7*'4.Ident.Princip.Consumos'!I8*0.8*1.732/1000</f>
        <v>#VALUE!</v>
      </c>
      <c r="DR7" s="72" t="str">
        <f t="shared" si="4"/>
        <v>-</v>
      </c>
      <c r="DS7" s="72" t="str">
        <f t="shared" si="4"/>
        <v>-</v>
      </c>
      <c r="DT7" s="72" t="str">
        <f t="shared" si="4"/>
        <v>-</v>
      </c>
      <c r="DU7" s="72" t="str">
        <f t="shared" ref="DU7:DU28" si="45">IFERROR(((DD7/DE7)),"-")</f>
        <v>-</v>
      </c>
      <c r="DV7" s="72" t="str">
        <f t="shared" ref="DV7:DV28" si="46">IFERROR(((DE7/DF7)),"-")</f>
        <v>-</v>
      </c>
      <c r="DW7" s="72" t="str">
        <f t="shared" ref="DW7:DW28" si="47">IFERROR((DF7/DD7),"-")</f>
        <v>-</v>
      </c>
      <c r="DX7" s="72" t="str">
        <f t="shared" ref="DX7:DX28" si="48">IF(DY7="-","-",100%)</f>
        <v>-</v>
      </c>
      <c r="DY7" t="str">
        <f t="shared" ref="DY7:DY27" si="49">CO29</f>
        <v>-</v>
      </c>
      <c r="DZ7" t="str">
        <f t="shared" ref="DZ7:DZ28" si="50">IFERROR(DP7,"-")</f>
        <v>-</v>
      </c>
      <c r="EA7" s="72" t="str">
        <f t="shared" ref="EA7:EA28" si="51">IF(DY7="-","-",100%)</f>
        <v>-</v>
      </c>
      <c r="EB7" s="73" t="str">
        <f t="shared" ref="EB7:EB28" si="52">DR7</f>
        <v>-</v>
      </c>
      <c r="EC7" s="73" t="str">
        <f t="shared" ref="EC7:EC28" si="53">DS7</f>
        <v>-</v>
      </c>
      <c r="ED7" s="73" t="str">
        <f t="shared" ref="ED7:ED28" si="54">DT7</f>
        <v>-</v>
      </c>
      <c r="EE7" s="73" t="str">
        <f>DY7</f>
        <v>-</v>
      </c>
      <c r="EF7" s="72" t="str">
        <f t="shared" ref="EF7:EF28" si="55">DU7</f>
        <v>-</v>
      </c>
      <c r="EG7" s="72" t="str">
        <f t="shared" ref="EG7:EG28" si="56">DV7</f>
        <v>-</v>
      </c>
      <c r="EH7" s="72" t="str">
        <f t="shared" ref="EH7:EH28" si="57">DW7</f>
        <v>-</v>
      </c>
      <c r="EI7" s="72" t="str">
        <f t="shared" ref="EI7:EI28" si="58">DX7</f>
        <v>-</v>
      </c>
      <c r="EJ7" s="7" t="str">
        <f t="shared" ref="EJ7:EJ28" si="59">DY7</f>
        <v>-</v>
      </c>
      <c r="EK7" s="87" t="str">
        <f t="shared" ref="EK7:EK28" si="60">EA7</f>
        <v>-</v>
      </c>
      <c r="EL7" s="87" t="str">
        <f t="shared" ref="EL7:EL28" si="61">EB7</f>
        <v>-</v>
      </c>
      <c r="EM7" s="87" t="str">
        <f t="shared" ref="EM7:EM28" si="62">EC7</f>
        <v>-</v>
      </c>
      <c r="EN7" s="88" t="str">
        <f t="shared" ref="EN7:EN28" si="63">ED7</f>
        <v>-</v>
      </c>
      <c r="EQ7" s="73" t="e">
        <f t="shared" ref="EQ7:EQ27" si="64">DM7</f>
        <v>#VALUE!</v>
      </c>
      <c r="ER7" t="e">
        <f t="shared" ref="ER7:ER28" si="65">DK7-DL7</f>
        <v>#VALUE!</v>
      </c>
      <c r="ES7" t="e">
        <f t="shared" ref="ES7:ES28" si="66">IF(ER7&lt;0,0,ER7)</f>
        <v>#VALUE!</v>
      </c>
      <c r="ET7" t="e">
        <f t="shared" ref="ET7:ET27" si="67">CW29*CX29*4.34*12*ES7</f>
        <v>#VALUE!</v>
      </c>
      <c r="EU7" s="11" t="str">
        <f t="shared" ref="EU7:EU28" si="68">IF(ISERROR(ET7*$AT$19),"-",(ET7*$AT$19))</f>
        <v>-</v>
      </c>
      <c r="EX7">
        <f>'4.Ident.Princip.Consumos'!O8</f>
        <v>0</v>
      </c>
      <c r="EY7">
        <f>'4.Ident.Princip.Consumos'!P8</f>
        <v>0</v>
      </c>
      <c r="EZ7">
        <f>'4.Ident.Princip.Consumos'!Q8</f>
        <v>0</v>
      </c>
      <c r="FA7" t="e">
        <f>((((((EX7+EY7+EZ7)/3))*1.732*'4.Ident.Princip.Consumos'!I8*'4.Ident.Princip.Consumos'!$E$30)/1000)*'4.Ident.Princip.Consumos'!G8*4.34*12)*$AT$19</f>
        <v>#DIV/0!</v>
      </c>
      <c r="FB7" t="e">
        <f>(((EX7*'4.Ident.Princip.Consumos'!$E$30*'4.Ident.Princip.Consumos'!I8)/1000)*'4.Ident.Princip.Consumos'!G8*4.34*12)*$AT$19</f>
        <v>#DIV/0!</v>
      </c>
      <c r="FC7" t="e">
        <f t="shared" ref="FC7:FC28" si="69">IF(DH7="Monofásico",FB7,FA7)</f>
        <v>#DIV/0!</v>
      </c>
      <c r="FD7" t="e">
        <f t="shared" ref="FD7:FD28" si="70">IF(FC7=0,"-",FC7)</f>
        <v>#DIV/0!</v>
      </c>
      <c r="FH7" s="73">
        <f>FH6</f>
        <v>1.1499999999999999</v>
      </c>
    </row>
    <row r="8" spans="1:164" ht="20" x14ac:dyDescent="0.3">
      <c r="A8" s="36" t="s">
        <v>186</v>
      </c>
      <c r="B8" s="1">
        <f>'7.- UpDate'!D16</f>
        <v>4.82E-2</v>
      </c>
      <c r="C8" s="1">
        <f>'7.- UpDate'!E16</f>
        <v>4.82E-2</v>
      </c>
      <c r="U8" s="313" t="s">
        <v>214</v>
      </c>
      <c r="V8" s="116" t="s">
        <v>187</v>
      </c>
      <c r="W8" t="s">
        <v>188</v>
      </c>
      <c r="X8" s="140" t="s">
        <v>93</v>
      </c>
      <c r="Z8">
        <v>50</v>
      </c>
      <c r="AA8">
        <v>7</v>
      </c>
      <c r="AC8">
        <v>35</v>
      </c>
      <c r="AE8" s="52">
        <v>45323</v>
      </c>
      <c r="AG8" s="52">
        <f>'2.HistóricoConsumoEnergético'!A9</f>
        <v>45294</v>
      </c>
      <c r="AH8">
        <f>'2.HistóricoConsumoEnergético'!B9</f>
        <v>0</v>
      </c>
      <c r="AI8">
        <f>'2.HistóricoConsumoEnergético'!C9</f>
        <v>0</v>
      </c>
      <c r="AJ8">
        <f t="shared" si="0"/>
        <v>0</v>
      </c>
      <c r="AK8">
        <f>'2.HistóricoConsumoEnergético'!D9</f>
        <v>0</v>
      </c>
      <c r="AL8" t="e">
        <f t="shared" si="1"/>
        <v>#DIV/0!</v>
      </c>
      <c r="AM8" s="116" t="s">
        <v>54</v>
      </c>
      <c r="AO8" s="62">
        <f>'2.HistóricoConsumoEnergético'!A7</f>
        <v>45232</v>
      </c>
      <c r="AP8" s="1">
        <f>'2.HistóricoConsumoEnergético'!B7</f>
        <v>0</v>
      </c>
      <c r="AQ8" s="1">
        <f>'2.HistóricoConsumoEnergético'!C7</f>
        <v>0</v>
      </c>
      <c r="AR8" s="9">
        <f>'2.HistóricoConsumoEnergético'!D7</f>
        <v>0</v>
      </c>
      <c r="AS8">
        <f t="shared" si="8"/>
        <v>0</v>
      </c>
      <c r="AT8" s="9" t="str">
        <f t="shared" si="3"/>
        <v>-</v>
      </c>
      <c r="AU8" s="52">
        <f>'2.HistóricoConsumoEnergético'!G7</f>
        <v>45232</v>
      </c>
      <c r="AV8" s="52" t="str">
        <f>'2.HistóricoConsumoEnergético'!H7</f>
        <v>Balón de 10kg</v>
      </c>
      <c r="AW8">
        <f>'2.HistóricoConsumoEnergético'!I7</f>
        <v>0</v>
      </c>
      <c r="AX8">
        <f>'2.HistóricoConsumoEnergético'!J7</f>
        <v>0</v>
      </c>
      <c r="AY8" s="4">
        <f>'2.HistóricoConsumoEnergético'!K7</f>
        <v>0</v>
      </c>
      <c r="AZ8" s="66">
        <f t="shared" si="9"/>
        <v>0</v>
      </c>
      <c r="BC8" s="52">
        <f>'2.HistóricoConsumoEnergético'!M7</f>
        <v>45232</v>
      </c>
      <c r="BD8" s="52" t="str">
        <f>'2.HistóricoConsumoEnergético'!N7</f>
        <v>m3</v>
      </c>
      <c r="BE8">
        <f>'2.HistóricoConsumoEnergético'!O7</f>
        <v>0</v>
      </c>
      <c r="BF8" s="4">
        <f>'2.HistóricoConsumoEnergético'!P7</f>
        <v>0</v>
      </c>
      <c r="BG8" s="66">
        <f t="shared" si="10"/>
        <v>0</v>
      </c>
      <c r="BH8" s="52">
        <f>'2.HistóricoConsumoEnergético'!R7</f>
        <v>45232</v>
      </c>
      <c r="BI8" t="str">
        <f>'2.HistóricoConsumoEnergético'!S7</f>
        <v>gal</v>
      </c>
      <c r="BJ8">
        <f>'2.HistóricoConsumoEnergético'!T7</f>
        <v>0</v>
      </c>
      <c r="BK8" s="4">
        <f>'2.HistóricoConsumoEnergético'!U7</f>
        <v>0</v>
      </c>
      <c r="BL8" s="65">
        <f t="shared" si="11"/>
        <v>0</v>
      </c>
      <c r="BM8" s="52">
        <f>'2.HistóricoConsumoEnergético'!W7</f>
        <v>0</v>
      </c>
      <c r="BN8">
        <f>'2.HistóricoConsumoEnergético'!X7</f>
        <v>0</v>
      </c>
      <c r="BO8">
        <f>'2.HistóricoConsumoEnergético'!Y7</f>
        <v>0</v>
      </c>
      <c r="BQ8">
        <f>'1.GeneralesEmpresa'!H15</f>
        <v>0</v>
      </c>
      <c r="BR8" s="52">
        <f t="shared" si="12"/>
        <v>45232</v>
      </c>
      <c r="BS8">
        <v>0</v>
      </c>
      <c r="BT8" s="65">
        <f t="shared" si="13"/>
        <v>0</v>
      </c>
      <c r="BU8" s="4">
        <f t="shared" si="14"/>
        <v>0</v>
      </c>
      <c r="BV8" s="52">
        <f t="shared" si="15"/>
        <v>45232</v>
      </c>
      <c r="BX8" s="52">
        <f t="shared" si="16"/>
        <v>45232</v>
      </c>
      <c r="BY8" s="1">
        <f t="shared" si="17"/>
        <v>0</v>
      </c>
      <c r="BZ8" s="9">
        <f t="shared" si="18"/>
        <v>0</v>
      </c>
      <c r="CA8" s="67" t="str">
        <f t="shared" si="19"/>
        <v>0</v>
      </c>
      <c r="CB8" s="1">
        <f t="shared" si="20"/>
        <v>0</v>
      </c>
      <c r="CC8" s="9">
        <f t="shared" si="21"/>
        <v>0</v>
      </c>
      <c r="CD8" s="67" t="str">
        <f t="shared" si="22"/>
        <v>0</v>
      </c>
      <c r="CE8" s="68">
        <f t="shared" si="23"/>
        <v>0</v>
      </c>
      <c r="CF8" s="9">
        <f t="shared" si="24"/>
        <v>0</v>
      </c>
      <c r="CG8" s="9" t="str">
        <f t="shared" si="25"/>
        <v>0</v>
      </c>
      <c r="CH8" s="68">
        <f t="shared" si="26"/>
        <v>0</v>
      </c>
      <c r="CI8" s="9">
        <f t="shared" si="27"/>
        <v>0</v>
      </c>
      <c r="CJ8" s="1" t="str">
        <f t="shared" si="28"/>
        <v>0</v>
      </c>
      <c r="CK8" s="68">
        <f t="shared" si="29"/>
        <v>0</v>
      </c>
      <c r="CL8" s="68">
        <f t="shared" si="30"/>
        <v>0</v>
      </c>
      <c r="CM8" s="68" t="e">
        <f t="shared" si="31"/>
        <v>#DIV/0!</v>
      </c>
      <c r="CN8" s="67">
        <f t="shared" si="32"/>
        <v>0</v>
      </c>
      <c r="CO8" s="67">
        <f t="shared" si="33"/>
        <v>0</v>
      </c>
      <c r="CP8" s="1">
        <f>Hoja2!B3</f>
        <v>0</v>
      </c>
      <c r="CQ8" s="66" t="e">
        <f t="shared" si="34"/>
        <v>#DIV/0!</v>
      </c>
      <c r="CR8" s="66" t="str">
        <f>IFERROR(BY8/'1.GeneralesEmpresa'!G15,"-")</f>
        <v>-</v>
      </c>
      <c r="CS8" t="e">
        <f>CN8/'1.GeneralesEmpresa'!$G$10</f>
        <v>#DIV/0!</v>
      </c>
      <c r="CT8" s="80" t="str">
        <f>IFERROR(CN8/'1.GeneralesEmpresa'!G15,"-")</f>
        <v>-</v>
      </c>
      <c r="CU8" s="1">
        <f>'7.- UpDate'!$B$2*BY8</f>
        <v>0</v>
      </c>
      <c r="CV8" s="1">
        <f t="shared" si="35"/>
        <v>0</v>
      </c>
      <c r="CW8" s="68">
        <f t="shared" si="36"/>
        <v>0</v>
      </c>
      <c r="CX8" s="68">
        <f t="shared" si="37"/>
        <v>0</v>
      </c>
      <c r="CY8" s="68">
        <f t="shared" si="38"/>
        <v>0</v>
      </c>
      <c r="CZ8" s="66" t="str">
        <f>IFERROR(CY8/'1.GeneralesEmpresa'!G15,"-")</f>
        <v>-</v>
      </c>
      <c r="DB8" s="66">
        <f t="shared" si="39"/>
        <v>0</v>
      </c>
      <c r="DC8" t="str">
        <f>IF('4.Ident.Princip.Consumos'!M9="Monofásico","Monofásico","Trifásico")</f>
        <v>Monofásico</v>
      </c>
      <c r="DD8" s="84" t="str">
        <f>IF('4.Ident.Princip.Consumos'!J9="","-",'4.Ident.Princip.Consumos'!J9)</f>
        <v>-</v>
      </c>
      <c r="DE8" s="84" t="str">
        <f>IF('4.Ident.Princip.Consumos'!K9="","-",'4.Ident.Princip.Consumos'!K9)</f>
        <v>-</v>
      </c>
      <c r="DF8" s="84" t="str">
        <f>IF('4.Ident.Princip.Consumos'!L9="","-",'4.Ident.Princip.Consumos'!L9)</f>
        <v>-</v>
      </c>
      <c r="DG8" t="e">
        <f t="shared" si="40"/>
        <v>#DIV/0!</v>
      </c>
      <c r="DH8" t="str">
        <f t="shared" si="41"/>
        <v>Monofásico</v>
      </c>
      <c r="DI8" t="e">
        <f>('4.Ident.Princip.Consumos'!I9*Hoja1!DG8*'4.Ident.Princip.Consumos'!$E$30*1.732)/1000</f>
        <v>#DIV/0!</v>
      </c>
      <c r="DJ8" t="e">
        <f>('4.Ident.Princip.Consumos'!I9*Hoja1!DD8*'4.Ident.Princip.Consumos'!$E$30)/1000</f>
        <v>#VALUE!</v>
      </c>
      <c r="DK8" s="3" t="e">
        <f t="shared" si="42"/>
        <v>#VALUE!</v>
      </c>
      <c r="DL8" t="e">
        <f>(CS30*CU30)/'4.Ident.Princip.Consumos'!$E$31</f>
        <v>#VALUE!</v>
      </c>
      <c r="DM8" s="72" t="e">
        <f t="shared" si="43"/>
        <v>#VALUE!</v>
      </c>
      <c r="DN8" s="3" t="e">
        <f>DL8/('4.Ident.Princip.Consumos'!$E$30*'4.Ident.Princip.Consumos'!I9*1.732)*1000</f>
        <v>#VALUE!</v>
      </c>
      <c r="DO8" s="3" t="e">
        <f>DL8/('4.Ident.Princip.Consumos'!$E$30*'4.Ident.Princip.Consumos'!I9)*1000</f>
        <v>#VALUE!</v>
      </c>
      <c r="DP8" s="3" t="e">
        <f t="shared" si="44"/>
        <v>#VALUE!</v>
      </c>
      <c r="DQ8" t="e">
        <f>DN8*'4.Ident.Princip.Consumos'!I9*0.8*1.732/1000</f>
        <v>#VALUE!</v>
      </c>
      <c r="DR8" s="72" t="str">
        <f t="shared" si="4"/>
        <v>-</v>
      </c>
      <c r="DS8" s="72" t="str">
        <f t="shared" si="4"/>
        <v>-</v>
      </c>
      <c r="DT8" s="72" t="str">
        <f t="shared" si="4"/>
        <v>-</v>
      </c>
      <c r="DU8" s="72" t="str">
        <f t="shared" si="45"/>
        <v>-</v>
      </c>
      <c r="DV8" s="72" t="str">
        <f t="shared" si="46"/>
        <v>-</v>
      </c>
      <c r="DW8" s="72" t="str">
        <f t="shared" si="47"/>
        <v>-</v>
      </c>
      <c r="DX8" s="72" t="str">
        <f t="shared" si="48"/>
        <v>-</v>
      </c>
      <c r="DY8" t="str">
        <f t="shared" si="49"/>
        <v>-</v>
      </c>
      <c r="DZ8" t="str">
        <f t="shared" si="50"/>
        <v>-</v>
      </c>
      <c r="EA8" s="72" t="str">
        <f t="shared" si="51"/>
        <v>-</v>
      </c>
      <c r="EB8" s="73" t="str">
        <f t="shared" si="52"/>
        <v>-</v>
      </c>
      <c r="EC8" s="73" t="str">
        <f t="shared" si="53"/>
        <v>-</v>
      </c>
      <c r="ED8" s="73" t="str">
        <f t="shared" si="54"/>
        <v>-</v>
      </c>
      <c r="EE8" s="73" t="str">
        <f t="shared" ref="EE8:EE28" si="71">DY8</f>
        <v>-</v>
      </c>
      <c r="EF8" s="72" t="str">
        <f t="shared" si="55"/>
        <v>-</v>
      </c>
      <c r="EG8" s="72" t="str">
        <f t="shared" si="56"/>
        <v>-</v>
      </c>
      <c r="EH8" s="72" t="str">
        <f t="shared" si="57"/>
        <v>-</v>
      </c>
      <c r="EI8" s="72" t="str">
        <f t="shared" si="58"/>
        <v>-</v>
      </c>
      <c r="EJ8" s="7" t="str">
        <f t="shared" si="59"/>
        <v>-</v>
      </c>
      <c r="EK8" s="87" t="str">
        <f t="shared" si="60"/>
        <v>-</v>
      </c>
      <c r="EL8" s="87" t="str">
        <f t="shared" si="61"/>
        <v>-</v>
      </c>
      <c r="EM8" s="87" t="str">
        <f t="shared" si="62"/>
        <v>-</v>
      </c>
      <c r="EN8" s="88" t="str">
        <f t="shared" si="63"/>
        <v>-</v>
      </c>
      <c r="EQ8" s="73" t="e">
        <f t="shared" si="64"/>
        <v>#VALUE!</v>
      </c>
      <c r="ER8" t="e">
        <f t="shared" si="65"/>
        <v>#VALUE!</v>
      </c>
      <c r="ES8" t="e">
        <f t="shared" si="66"/>
        <v>#VALUE!</v>
      </c>
      <c r="ET8" t="e">
        <f t="shared" si="67"/>
        <v>#VALUE!</v>
      </c>
      <c r="EU8" s="11" t="str">
        <f t="shared" si="68"/>
        <v>-</v>
      </c>
      <c r="EX8">
        <f>'4.Ident.Princip.Consumos'!O9</f>
        <v>0</v>
      </c>
      <c r="EY8">
        <f>'4.Ident.Princip.Consumos'!P9</f>
        <v>0</v>
      </c>
      <c r="EZ8">
        <f>'4.Ident.Princip.Consumos'!Q9</f>
        <v>0</v>
      </c>
      <c r="FA8" t="e">
        <f>((((((EX8+EY8+EZ8)/3))*1.732*'4.Ident.Princip.Consumos'!I9*'4.Ident.Princip.Consumos'!$E$30)/1000)*'4.Ident.Princip.Consumos'!G9*4.34*12)*$AT$19</f>
        <v>#DIV/0!</v>
      </c>
      <c r="FB8" t="e">
        <f>(((EX8*'4.Ident.Princip.Consumos'!$E$30*'4.Ident.Princip.Consumos'!I9)/1000)*'4.Ident.Princip.Consumos'!G9*4.34*12)*$AT$19</f>
        <v>#DIV/0!</v>
      </c>
      <c r="FC8" t="e">
        <f t="shared" si="69"/>
        <v>#DIV/0!</v>
      </c>
      <c r="FD8" t="e">
        <f t="shared" si="70"/>
        <v>#DIV/0!</v>
      </c>
      <c r="FH8" s="73">
        <f t="shared" ref="FH8:FH28" si="72">FH7</f>
        <v>1.1499999999999999</v>
      </c>
    </row>
    <row r="9" spans="1:164" x14ac:dyDescent="0.3">
      <c r="A9" s="1"/>
      <c r="B9" s="1">
        <f>'7.- UpDate'!D17</f>
        <v>0</v>
      </c>
      <c r="C9" s="1">
        <f>'7.- UpDate'!E17</f>
        <v>0</v>
      </c>
      <c r="U9" s="313" t="s">
        <v>483</v>
      </c>
      <c r="V9" s="116" t="s">
        <v>189</v>
      </c>
      <c r="W9" t="s">
        <v>50</v>
      </c>
      <c r="Z9">
        <v>55</v>
      </c>
      <c r="AA9">
        <v>8</v>
      </c>
      <c r="AC9">
        <v>40</v>
      </c>
      <c r="AE9" s="52">
        <v>45352</v>
      </c>
      <c r="AG9" s="52">
        <f>'2.HistóricoConsumoEnergético'!A10</f>
        <v>45325</v>
      </c>
      <c r="AH9">
        <f>'2.HistóricoConsumoEnergético'!B10</f>
        <v>0</v>
      </c>
      <c r="AI9">
        <f>'2.HistóricoConsumoEnergético'!C10</f>
        <v>0</v>
      </c>
      <c r="AJ9">
        <f t="shared" si="0"/>
        <v>0</v>
      </c>
      <c r="AK9">
        <f>'2.HistóricoConsumoEnergético'!D10</f>
        <v>0</v>
      </c>
      <c r="AL9" t="e">
        <f t="shared" si="1"/>
        <v>#DIV/0!</v>
      </c>
      <c r="AM9" s="116" t="s">
        <v>190</v>
      </c>
      <c r="AO9" s="62">
        <f>'2.HistóricoConsumoEnergético'!A8</f>
        <v>45263</v>
      </c>
      <c r="AP9" s="1">
        <f>'2.HistóricoConsumoEnergético'!B8</f>
        <v>0</v>
      </c>
      <c r="AQ9" s="1">
        <f>'2.HistóricoConsumoEnergético'!C8</f>
        <v>0</v>
      </c>
      <c r="AR9" s="9">
        <f>'2.HistóricoConsumoEnergético'!D8</f>
        <v>0</v>
      </c>
      <c r="AS9">
        <f t="shared" si="8"/>
        <v>0</v>
      </c>
      <c r="AT9" s="9" t="str">
        <f t="shared" si="3"/>
        <v>-</v>
      </c>
      <c r="AU9" s="52">
        <f>'2.HistóricoConsumoEnergético'!G8</f>
        <v>45263</v>
      </c>
      <c r="AV9" s="52" t="str">
        <f>'2.HistóricoConsumoEnergético'!H8</f>
        <v>Balón de 10kg</v>
      </c>
      <c r="AW9">
        <f>'2.HistóricoConsumoEnergético'!I8</f>
        <v>0</v>
      </c>
      <c r="AX9">
        <f>'2.HistóricoConsumoEnergético'!J8</f>
        <v>0</v>
      </c>
      <c r="AY9" s="4">
        <f>'2.HistóricoConsumoEnergético'!K8</f>
        <v>0</v>
      </c>
      <c r="AZ9" s="66">
        <f t="shared" si="9"/>
        <v>0</v>
      </c>
      <c r="BC9" s="52">
        <f>'2.HistóricoConsumoEnergético'!M8</f>
        <v>45263</v>
      </c>
      <c r="BD9" s="52" t="str">
        <f>'2.HistóricoConsumoEnergético'!N8</f>
        <v>m3</v>
      </c>
      <c r="BE9">
        <f>'2.HistóricoConsumoEnergético'!O8</f>
        <v>0</v>
      </c>
      <c r="BF9" s="4">
        <f>'2.HistóricoConsumoEnergético'!P8</f>
        <v>0</v>
      </c>
      <c r="BG9" s="66">
        <f t="shared" si="10"/>
        <v>0</v>
      </c>
      <c r="BH9" s="52">
        <f>'2.HistóricoConsumoEnergético'!R8</f>
        <v>45263</v>
      </c>
      <c r="BI9" t="str">
        <f>'2.HistóricoConsumoEnergético'!S8</f>
        <v>gal</v>
      </c>
      <c r="BJ9">
        <f>'2.HistóricoConsumoEnergético'!T8</f>
        <v>0</v>
      </c>
      <c r="BK9" s="4">
        <f>'2.HistóricoConsumoEnergético'!U8</f>
        <v>0</v>
      </c>
      <c r="BL9" s="65">
        <f t="shared" si="11"/>
        <v>0</v>
      </c>
      <c r="BM9" s="52">
        <f>'2.HistóricoConsumoEnergético'!W8</f>
        <v>0</v>
      </c>
      <c r="BN9">
        <f>'2.HistóricoConsumoEnergético'!X8</f>
        <v>0</v>
      </c>
      <c r="BO9">
        <f>'2.HistóricoConsumoEnergético'!Y8</f>
        <v>0</v>
      </c>
      <c r="BQ9">
        <f>'1.GeneralesEmpresa'!H16</f>
        <v>0</v>
      </c>
      <c r="BR9" s="52">
        <f t="shared" si="12"/>
        <v>45263</v>
      </c>
      <c r="BS9">
        <v>0</v>
      </c>
      <c r="BT9" s="65">
        <f t="shared" si="13"/>
        <v>0</v>
      </c>
      <c r="BU9" s="4">
        <f t="shared" si="14"/>
        <v>0</v>
      </c>
      <c r="BV9" s="52">
        <f t="shared" si="15"/>
        <v>45263</v>
      </c>
      <c r="BX9" s="52">
        <f t="shared" si="16"/>
        <v>45263</v>
      </c>
      <c r="BY9" s="1">
        <f t="shared" si="17"/>
        <v>0</v>
      </c>
      <c r="BZ9" s="9">
        <f t="shared" si="18"/>
        <v>0</v>
      </c>
      <c r="CA9" s="67" t="str">
        <f t="shared" si="19"/>
        <v>0</v>
      </c>
      <c r="CB9" s="1">
        <f t="shared" si="20"/>
        <v>0</v>
      </c>
      <c r="CC9" s="9">
        <f t="shared" si="21"/>
        <v>0</v>
      </c>
      <c r="CD9" s="67" t="str">
        <f t="shared" si="22"/>
        <v>0</v>
      </c>
      <c r="CE9" s="68">
        <f t="shared" si="23"/>
        <v>0</v>
      </c>
      <c r="CF9" s="9">
        <f t="shared" si="24"/>
        <v>0</v>
      </c>
      <c r="CG9" s="9" t="str">
        <f t="shared" si="25"/>
        <v>0</v>
      </c>
      <c r="CH9" s="68">
        <f t="shared" si="26"/>
        <v>0</v>
      </c>
      <c r="CI9" s="9">
        <f t="shared" si="27"/>
        <v>0</v>
      </c>
      <c r="CJ9" s="1" t="str">
        <f t="shared" si="28"/>
        <v>0</v>
      </c>
      <c r="CK9" s="68">
        <f t="shared" si="29"/>
        <v>0</v>
      </c>
      <c r="CL9" s="68">
        <f t="shared" si="30"/>
        <v>0</v>
      </c>
      <c r="CM9" s="68" t="e">
        <f t="shared" si="31"/>
        <v>#DIV/0!</v>
      </c>
      <c r="CN9" s="67">
        <f t="shared" si="32"/>
        <v>0</v>
      </c>
      <c r="CO9" s="67">
        <f t="shared" si="33"/>
        <v>0</v>
      </c>
      <c r="CP9" s="1">
        <f>Hoja2!B4</f>
        <v>0</v>
      </c>
      <c r="CQ9" s="66" t="e">
        <f t="shared" si="34"/>
        <v>#DIV/0!</v>
      </c>
      <c r="CR9" s="66" t="str">
        <f>IFERROR(BY9/'1.GeneralesEmpresa'!G16,"-")</f>
        <v>-</v>
      </c>
      <c r="CS9" t="e">
        <f>CN9/'1.GeneralesEmpresa'!$G$10</f>
        <v>#DIV/0!</v>
      </c>
      <c r="CT9" s="80" t="str">
        <f>IFERROR(CN9/'1.GeneralesEmpresa'!G16,"-")</f>
        <v>-</v>
      </c>
      <c r="CU9" s="1">
        <f>'7.- UpDate'!$B$2*BY9</f>
        <v>0</v>
      </c>
      <c r="CV9" s="1">
        <f t="shared" si="35"/>
        <v>0</v>
      </c>
      <c r="CW9" s="68">
        <f t="shared" si="36"/>
        <v>0</v>
      </c>
      <c r="CX9" s="68">
        <f t="shared" si="37"/>
        <v>0</v>
      </c>
      <c r="CY9" s="68">
        <f t="shared" si="38"/>
        <v>0</v>
      </c>
      <c r="CZ9" s="66" t="str">
        <f>IFERROR(CY9/'1.GeneralesEmpresa'!G16,"-")</f>
        <v>-</v>
      </c>
      <c r="DB9" s="66">
        <f t="shared" si="39"/>
        <v>0</v>
      </c>
      <c r="DC9" t="str">
        <f>IF('4.Ident.Princip.Consumos'!M10="Monofásico","Monofásico","Trifásico")</f>
        <v>Monofásico</v>
      </c>
      <c r="DD9" s="84" t="str">
        <f>IF('4.Ident.Princip.Consumos'!J10="","-",'4.Ident.Princip.Consumos'!J10)</f>
        <v>-</v>
      </c>
      <c r="DE9" s="84" t="str">
        <f>IF('4.Ident.Princip.Consumos'!K10="","-",'4.Ident.Princip.Consumos'!K10)</f>
        <v>-</v>
      </c>
      <c r="DF9" s="84" t="str">
        <f>IF('4.Ident.Princip.Consumos'!L10="","-",'4.Ident.Princip.Consumos'!L10)</f>
        <v>-</v>
      </c>
      <c r="DG9" t="e">
        <f t="shared" si="40"/>
        <v>#DIV/0!</v>
      </c>
      <c r="DH9" t="str">
        <f t="shared" si="41"/>
        <v>Monofásico</v>
      </c>
      <c r="DI9" t="e">
        <f>('4.Ident.Princip.Consumos'!I10*Hoja1!DG9*'4.Ident.Princip.Consumos'!$E$30*1.732)/1000</f>
        <v>#DIV/0!</v>
      </c>
      <c r="DJ9" t="e">
        <f>('4.Ident.Princip.Consumos'!I10*Hoja1!DD9*'4.Ident.Princip.Consumos'!$E$30)/1000</f>
        <v>#VALUE!</v>
      </c>
      <c r="DK9" s="3" t="e">
        <f t="shared" si="42"/>
        <v>#VALUE!</v>
      </c>
      <c r="DL9" t="e">
        <f>(CS31*CU31)/'4.Ident.Princip.Consumos'!$E$31</f>
        <v>#VALUE!</v>
      </c>
      <c r="DM9" s="72" t="e">
        <f t="shared" si="43"/>
        <v>#VALUE!</v>
      </c>
      <c r="DN9" s="3" t="e">
        <f>DL9/('4.Ident.Princip.Consumos'!$E$30*'4.Ident.Princip.Consumos'!I10*1.732)*1000</f>
        <v>#VALUE!</v>
      </c>
      <c r="DO9" s="3" t="e">
        <f>DL9/('4.Ident.Princip.Consumos'!$E$30*'4.Ident.Princip.Consumos'!I10)*1000</f>
        <v>#VALUE!</v>
      </c>
      <c r="DP9" s="3" t="e">
        <f t="shared" si="44"/>
        <v>#VALUE!</v>
      </c>
      <c r="DQ9" t="e">
        <f>DN9*'4.Ident.Princip.Consumos'!I10*0.8*1.732/1000</f>
        <v>#VALUE!</v>
      </c>
      <c r="DR9" s="72" t="str">
        <f t="shared" si="4"/>
        <v>-</v>
      </c>
      <c r="DS9" s="72" t="str">
        <f t="shared" si="4"/>
        <v>-</v>
      </c>
      <c r="DT9" s="72" t="str">
        <f t="shared" si="4"/>
        <v>-</v>
      </c>
      <c r="DU9" s="72" t="str">
        <f t="shared" si="45"/>
        <v>-</v>
      </c>
      <c r="DV9" s="72" t="str">
        <f t="shared" si="46"/>
        <v>-</v>
      </c>
      <c r="DW9" s="72" t="str">
        <f t="shared" si="47"/>
        <v>-</v>
      </c>
      <c r="DX9" s="72" t="str">
        <f t="shared" si="48"/>
        <v>-</v>
      </c>
      <c r="DY9" t="str">
        <f t="shared" si="49"/>
        <v>-</v>
      </c>
      <c r="DZ9" t="str">
        <f t="shared" si="50"/>
        <v>-</v>
      </c>
      <c r="EA9" s="72" t="str">
        <f t="shared" si="51"/>
        <v>-</v>
      </c>
      <c r="EB9" s="73" t="str">
        <f t="shared" si="52"/>
        <v>-</v>
      </c>
      <c r="EC9" s="73" t="str">
        <f t="shared" si="53"/>
        <v>-</v>
      </c>
      <c r="ED9" s="73" t="str">
        <f t="shared" si="54"/>
        <v>-</v>
      </c>
      <c r="EE9" s="73" t="str">
        <f t="shared" si="71"/>
        <v>-</v>
      </c>
      <c r="EF9" s="72" t="str">
        <f t="shared" si="55"/>
        <v>-</v>
      </c>
      <c r="EG9" s="72" t="str">
        <f t="shared" si="56"/>
        <v>-</v>
      </c>
      <c r="EH9" s="72" t="str">
        <f t="shared" si="57"/>
        <v>-</v>
      </c>
      <c r="EI9" s="72" t="str">
        <f t="shared" si="58"/>
        <v>-</v>
      </c>
      <c r="EJ9" s="7" t="str">
        <f t="shared" si="59"/>
        <v>-</v>
      </c>
      <c r="EK9" s="87" t="str">
        <f t="shared" si="60"/>
        <v>-</v>
      </c>
      <c r="EL9" s="87" t="str">
        <f t="shared" si="61"/>
        <v>-</v>
      </c>
      <c r="EM9" s="87" t="str">
        <f t="shared" si="62"/>
        <v>-</v>
      </c>
      <c r="EN9" s="88" t="str">
        <f t="shared" si="63"/>
        <v>-</v>
      </c>
      <c r="EQ9" s="73" t="e">
        <f t="shared" si="64"/>
        <v>#VALUE!</v>
      </c>
      <c r="ER9" t="e">
        <f t="shared" si="65"/>
        <v>#VALUE!</v>
      </c>
      <c r="ES9" t="e">
        <f t="shared" si="66"/>
        <v>#VALUE!</v>
      </c>
      <c r="ET9" t="e">
        <f t="shared" si="67"/>
        <v>#VALUE!</v>
      </c>
      <c r="EU9" s="11" t="str">
        <f t="shared" si="68"/>
        <v>-</v>
      </c>
      <c r="EX9">
        <f>'4.Ident.Princip.Consumos'!O10</f>
        <v>0</v>
      </c>
      <c r="EY9">
        <f>'4.Ident.Princip.Consumos'!P10</f>
        <v>0</v>
      </c>
      <c r="EZ9">
        <f>'4.Ident.Princip.Consumos'!Q10</f>
        <v>0</v>
      </c>
      <c r="FA9" t="e">
        <f>((((((EX9+EY9+EZ9)/3))*1.732*'4.Ident.Princip.Consumos'!I10*'4.Ident.Princip.Consumos'!$E$30)/1000)*'4.Ident.Princip.Consumos'!G10*4.34*12)*$AT$19</f>
        <v>#DIV/0!</v>
      </c>
      <c r="FB9" t="e">
        <f>(((EX9*'4.Ident.Princip.Consumos'!$E$30*'4.Ident.Princip.Consumos'!I10)/1000)*'4.Ident.Princip.Consumos'!G10*4.34*12)*$AT$19</f>
        <v>#DIV/0!</v>
      </c>
      <c r="FC9" t="e">
        <f t="shared" si="69"/>
        <v>#DIV/0!</v>
      </c>
      <c r="FD9" t="e">
        <f t="shared" si="70"/>
        <v>#DIV/0!</v>
      </c>
      <c r="FH9" s="73">
        <f t="shared" si="72"/>
        <v>1.1499999999999999</v>
      </c>
    </row>
    <row r="10" spans="1:164" x14ac:dyDescent="0.3">
      <c r="A10" s="117" t="s">
        <v>191</v>
      </c>
      <c r="B10" s="1" t="str">
        <f>'7.- UpDate'!D18</f>
        <v>BT 3</v>
      </c>
      <c r="C10" s="1" t="str">
        <f>'7.- UpDate'!E18</f>
        <v>MT3</v>
      </c>
      <c r="F10" s="117" t="s">
        <v>193</v>
      </c>
      <c r="G10" s="118" t="s">
        <v>188</v>
      </c>
      <c r="U10" s="313" t="s">
        <v>221</v>
      </c>
      <c r="V10" s="116" t="s">
        <v>194</v>
      </c>
      <c r="W10" t="s">
        <v>195</v>
      </c>
      <c r="Z10">
        <v>60</v>
      </c>
      <c r="AA10">
        <v>9</v>
      </c>
      <c r="AC10">
        <v>45</v>
      </c>
      <c r="AE10" s="52">
        <v>45383</v>
      </c>
      <c r="AG10" s="52">
        <f>'2.HistóricoConsumoEnergético'!A11</f>
        <v>45356</v>
      </c>
      <c r="AH10">
        <f>'2.HistóricoConsumoEnergético'!B11</f>
        <v>0</v>
      </c>
      <c r="AI10">
        <f>'2.HistóricoConsumoEnergético'!C11</f>
        <v>0</v>
      </c>
      <c r="AJ10">
        <f t="shared" si="0"/>
        <v>0</v>
      </c>
      <c r="AK10">
        <f>'2.HistóricoConsumoEnergético'!D11</f>
        <v>0</v>
      </c>
      <c r="AL10" t="e">
        <f t="shared" si="1"/>
        <v>#DIV/0!</v>
      </c>
      <c r="AM10" s="116" t="s">
        <v>196</v>
      </c>
      <c r="AO10" s="62">
        <f>'2.HistóricoConsumoEnergético'!A9</f>
        <v>45294</v>
      </c>
      <c r="AP10" s="1">
        <f>'2.HistóricoConsumoEnergético'!B9</f>
        <v>0</v>
      </c>
      <c r="AQ10" s="1">
        <f>'2.HistóricoConsumoEnergético'!C9</f>
        <v>0</v>
      </c>
      <c r="AR10" s="9">
        <f>'2.HistóricoConsumoEnergético'!D9</f>
        <v>0</v>
      </c>
      <c r="AS10">
        <f t="shared" si="8"/>
        <v>0</v>
      </c>
      <c r="AT10" s="9" t="str">
        <f t="shared" si="3"/>
        <v>-</v>
      </c>
      <c r="AU10" s="52">
        <f>'2.HistóricoConsumoEnergético'!G9</f>
        <v>45294</v>
      </c>
      <c r="AV10" s="52" t="str">
        <f>'2.HistóricoConsumoEnergético'!H9</f>
        <v>Balón de 10kg</v>
      </c>
      <c r="AW10">
        <f>'2.HistóricoConsumoEnergético'!I9</f>
        <v>0</v>
      </c>
      <c r="AX10">
        <f>'2.HistóricoConsumoEnergético'!J9</f>
        <v>0</v>
      </c>
      <c r="AY10" s="4">
        <f>'2.HistóricoConsumoEnergético'!K9</f>
        <v>0</v>
      </c>
      <c r="AZ10" s="66">
        <f t="shared" si="9"/>
        <v>0</v>
      </c>
      <c r="BC10" s="52">
        <f>'2.HistóricoConsumoEnergético'!M9</f>
        <v>45294</v>
      </c>
      <c r="BD10" s="52" t="str">
        <f>'2.HistóricoConsumoEnergético'!N9</f>
        <v>m3</v>
      </c>
      <c r="BE10">
        <f>'2.HistóricoConsumoEnergético'!O9</f>
        <v>0</v>
      </c>
      <c r="BF10" s="4">
        <f>'2.HistóricoConsumoEnergético'!P9</f>
        <v>0</v>
      </c>
      <c r="BG10" s="66">
        <f t="shared" si="10"/>
        <v>0</v>
      </c>
      <c r="BH10" s="52">
        <f>'2.HistóricoConsumoEnergético'!R9</f>
        <v>45294</v>
      </c>
      <c r="BI10" t="str">
        <f>'2.HistóricoConsumoEnergético'!S9</f>
        <v>gal</v>
      </c>
      <c r="BJ10">
        <f>'2.HistóricoConsumoEnergético'!T9</f>
        <v>0</v>
      </c>
      <c r="BK10" s="4">
        <f>'2.HistóricoConsumoEnergético'!U9</f>
        <v>0</v>
      </c>
      <c r="BL10" s="65">
        <f t="shared" si="11"/>
        <v>0</v>
      </c>
      <c r="BM10" s="52">
        <f>'2.HistóricoConsumoEnergético'!W9</f>
        <v>0</v>
      </c>
      <c r="BN10">
        <f>'2.HistóricoConsumoEnergético'!X9</f>
        <v>0</v>
      </c>
      <c r="BO10">
        <f>'2.HistóricoConsumoEnergético'!Y9</f>
        <v>0</v>
      </c>
      <c r="BQ10">
        <f>'1.GeneralesEmpresa'!H17</f>
        <v>0</v>
      </c>
      <c r="BR10" s="52">
        <f t="shared" si="12"/>
        <v>45294</v>
      </c>
      <c r="BS10">
        <v>0</v>
      </c>
      <c r="BT10" s="65">
        <f t="shared" si="13"/>
        <v>0</v>
      </c>
      <c r="BU10" s="4">
        <f t="shared" si="14"/>
        <v>0</v>
      </c>
      <c r="BV10" s="52">
        <f t="shared" si="15"/>
        <v>45294</v>
      </c>
      <c r="BX10" s="52">
        <f t="shared" si="16"/>
        <v>45294</v>
      </c>
      <c r="BY10" s="1">
        <f t="shared" si="17"/>
        <v>0</v>
      </c>
      <c r="BZ10" s="9">
        <f t="shared" si="18"/>
        <v>0</v>
      </c>
      <c r="CA10" s="67" t="str">
        <f t="shared" si="19"/>
        <v>0</v>
      </c>
      <c r="CB10" s="1">
        <f t="shared" si="20"/>
        <v>0</v>
      </c>
      <c r="CC10" s="9">
        <f t="shared" si="21"/>
        <v>0</v>
      </c>
      <c r="CD10" s="67" t="str">
        <f t="shared" si="22"/>
        <v>0</v>
      </c>
      <c r="CE10" s="68">
        <f t="shared" si="23"/>
        <v>0</v>
      </c>
      <c r="CF10" s="9">
        <f t="shared" si="24"/>
        <v>0</v>
      </c>
      <c r="CG10" s="9" t="str">
        <f t="shared" si="25"/>
        <v>0</v>
      </c>
      <c r="CH10" s="68">
        <f t="shared" si="26"/>
        <v>0</v>
      </c>
      <c r="CI10" s="9">
        <f t="shared" si="27"/>
        <v>0</v>
      </c>
      <c r="CJ10" s="1" t="str">
        <f t="shared" si="28"/>
        <v>0</v>
      </c>
      <c r="CK10" s="68">
        <f t="shared" si="29"/>
        <v>0</v>
      </c>
      <c r="CL10" s="68">
        <f t="shared" si="30"/>
        <v>0</v>
      </c>
      <c r="CM10" s="68" t="e">
        <f t="shared" si="31"/>
        <v>#DIV/0!</v>
      </c>
      <c r="CN10" s="67">
        <f t="shared" si="32"/>
        <v>0</v>
      </c>
      <c r="CO10" s="67">
        <f t="shared" si="33"/>
        <v>0</v>
      </c>
      <c r="CP10" s="1">
        <f>Hoja2!B5</f>
        <v>0</v>
      </c>
      <c r="CQ10" s="66" t="e">
        <f t="shared" si="34"/>
        <v>#DIV/0!</v>
      </c>
      <c r="CR10" s="66" t="str">
        <f>IFERROR(BY10/'1.GeneralesEmpresa'!G17,"-")</f>
        <v>-</v>
      </c>
      <c r="CS10" t="e">
        <f>CN10/'1.GeneralesEmpresa'!$G$10</f>
        <v>#DIV/0!</v>
      </c>
      <c r="CT10" s="80" t="str">
        <f>IFERROR(CN10/'1.GeneralesEmpresa'!G17,"-")</f>
        <v>-</v>
      </c>
      <c r="CU10" s="1">
        <f>'7.- UpDate'!$B$2*BY10</f>
        <v>0</v>
      </c>
      <c r="CV10" s="1">
        <f t="shared" si="35"/>
        <v>0</v>
      </c>
      <c r="CW10" s="68">
        <f t="shared" si="36"/>
        <v>0</v>
      </c>
      <c r="CX10" s="68">
        <f t="shared" si="37"/>
        <v>0</v>
      </c>
      <c r="CY10" s="68">
        <f t="shared" si="38"/>
        <v>0</v>
      </c>
      <c r="CZ10" s="66" t="str">
        <f>IFERROR(CY10/'1.GeneralesEmpresa'!G17,"-")</f>
        <v>-</v>
      </c>
      <c r="DB10" s="66">
        <f t="shared" si="39"/>
        <v>0</v>
      </c>
      <c r="DC10" t="str">
        <f>IF('4.Ident.Princip.Consumos'!M11="Monofásico","Monofásico","Trifásico")</f>
        <v>Monofásico</v>
      </c>
      <c r="DD10" s="84" t="str">
        <f>IF('4.Ident.Princip.Consumos'!J11="","-",'4.Ident.Princip.Consumos'!J11)</f>
        <v>-</v>
      </c>
      <c r="DE10" s="84" t="str">
        <f>IF('4.Ident.Princip.Consumos'!K11="","-",'4.Ident.Princip.Consumos'!K11)</f>
        <v>-</v>
      </c>
      <c r="DF10" s="84" t="str">
        <f>IF('4.Ident.Princip.Consumos'!L11="","-",'4.Ident.Princip.Consumos'!L11)</f>
        <v>-</v>
      </c>
      <c r="DG10" t="e">
        <f t="shared" si="40"/>
        <v>#DIV/0!</v>
      </c>
      <c r="DH10" t="str">
        <f t="shared" si="41"/>
        <v>Monofásico</v>
      </c>
      <c r="DI10" t="e">
        <f>('4.Ident.Princip.Consumos'!I11*Hoja1!DG10*'4.Ident.Princip.Consumos'!$E$30*1.732)/1000</f>
        <v>#DIV/0!</v>
      </c>
      <c r="DJ10" t="e">
        <f>('4.Ident.Princip.Consumos'!I11*Hoja1!DD10*'4.Ident.Princip.Consumos'!$E$30)/1000</f>
        <v>#VALUE!</v>
      </c>
      <c r="DK10" s="3" t="e">
        <f t="shared" si="42"/>
        <v>#VALUE!</v>
      </c>
      <c r="DL10" t="e">
        <f>(CS32*CU32)/'4.Ident.Princip.Consumos'!$E$31</f>
        <v>#VALUE!</v>
      </c>
      <c r="DM10" s="72" t="e">
        <f t="shared" si="43"/>
        <v>#VALUE!</v>
      </c>
      <c r="DN10" s="3" t="e">
        <f>DL10/('4.Ident.Princip.Consumos'!$E$30*'4.Ident.Princip.Consumos'!I11*1.732)*1000</f>
        <v>#VALUE!</v>
      </c>
      <c r="DO10" s="3" t="e">
        <f>DL10/('4.Ident.Princip.Consumos'!$E$30*'4.Ident.Princip.Consumos'!I11)*1000</f>
        <v>#VALUE!</v>
      </c>
      <c r="DP10" s="3" t="e">
        <f t="shared" si="44"/>
        <v>#VALUE!</v>
      </c>
      <c r="DQ10" t="e">
        <f>DN10*'4.Ident.Princip.Consumos'!I11*0.8*1.732/1000</f>
        <v>#VALUE!</v>
      </c>
      <c r="DR10" s="72" t="str">
        <f t="shared" si="4"/>
        <v>-</v>
      </c>
      <c r="DS10" s="72" t="str">
        <f t="shared" si="4"/>
        <v>-</v>
      </c>
      <c r="DT10" s="72" t="str">
        <f t="shared" si="4"/>
        <v>-</v>
      </c>
      <c r="DU10" s="72" t="str">
        <f t="shared" si="45"/>
        <v>-</v>
      </c>
      <c r="DV10" s="72" t="str">
        <f t="shared" si="46"/>
        <v>-</v>
      </c>
      <c r="DW10" s="72" t="str">
        <f t="shared" si="47"/>
        <v>-</v>
      </c>
      <c r="DX10" s="72" t="str">
        <f t="shared" si="48"/>
        <v>-</v>
      </c>
      <c r="DY10" t="str">
        <f t="shared" si="49"/>
        <v>-</v>
      </c>
      <c r="DZ10" t="str">
        <f t="shared" si="50"/>
        <v>-</v>
      </c>
      <c r="EA10" s="72" t="str">
        <f t="shared" si="51"/>
        <v>-</v>
      </c>
      <c r="EB10" s="73" t="str">
        <f t="shared" si="52"/>
        <v>-</v>
      </c>
      <c r="EC10" s="73" t="str">
        <f t="shared" si="53"/>
        <v>-</v>
      </c>
      <c r="ED10" s="73" t="str">
        <f t="shared" si="54"/>
        <v>-</v>
      </c>
      <c r="EE10" s="73" t="str">
        <f t="shared" si="71"/>
        <v>-</v>
      </c>
      <c r="EF10" s="72" t="str">
        <f t="shared" si="55"/>
        <v>-</v>
      </c>
      <c r="EG10" s="72" t="str">
        <f t="shared" si="56"/>
        <v>-</v>
      </c>
      <c r="EH10" s="72" t="str">
        <f t="shared" si="57"/>
        <v>-</v>
      </c>
      <c r="EI10" s="72" t="str">
        <f t="shared" si="58"/>
        <v>-</v>
      </c>
      <c r="EJ10" s="7" t="str">
        <f t="shared" si="59"/>
        <v>-</v>
      </c>
      <c r="EK10" s="87" t="str">
        <f t="shared" si="60"/>
        <v>-</v>
      </c>
      <c r="EL10" s="87" t="str">
        <f t="shared" si="61"/>
        <v>-</v>
      </c>
      <c r="EM10" s="87" t="str">
        <f t="shared" si="62"/>
        <v>-</v>
      </c>
      <c r="EN10" s="88" t="str">
        <f t="shared" si="63"/>
        <v>-</v>
      </c>
      <c r="EQ10" s="73" t="e">
        <f t="shared" si="64"/>
        <v>#VALUE!</v>
      </c>
      <c r="ER10" t="e">
        <f t="shared" si="65"/>
        <v>#VALUE!</v>
      </c>
      <c r="ES10" t="e">
        <f t="shared" si="66"/>
        <v>#VALUE!</v>
      </c>
      <c r="ET10" t="e">
        <f t="shared" si="67"/>
        <v>#VALUE!</v>
      </c>
      <c r="EU10" s="11" t="str">
        <f t="shared" si="68"/>
        <v>-</v>
      </c>
      <c r="EX10">
        <f>'4.Ident.Princip.Consumos'!O11</f>
        <v>0</v>
      </c>
      <c r="EY10">
        <f>'4.Ident.Princip.Consumos'!P11</f>
        <v>0</v>
      </c>
      <c r="EZ10">
        <f>'4.Ident.Princip.Consumos'!Q11</f>
        <v>0</v>
      </c>
      <c r="FA10" t="e">
        <f>((((((EX10+EY10+EZ10)/3))*1.732*'4.Ident.Princip.Consumos'!I11*'4.Ident.Princip.Consumos'!$E$30)/1000)*'4.Ident.Princip.Consumos'!G11*4.34*12)*$AT$19</f>
        <v>#DIV/0!</v>
      </c>
      <c r="FB10" t="e">
        <f>(((EX10*'4.Ident.Princip.Consumos'!$E$30*'4.Ident.Princip.Consumos'!I11)/1000)*'4.Ident.Princip.Consumos'!G11*4.34*12)*$AT$19</f>
        <v>#DIV/0!</v>
      </c>
      <c r="FC10" t="e">
        <f t="shared" si="69"/>
        <v>#DIV/0!</v>
      </c>
      <c r="FD10" t="e">
        <f t="shared" si="70"/>
        <v>#DIV/0!</v>
      </c>
      <c r="FH10" s="73">
        <f t="shared" si="72"/>
        <v>1.1499999999999999</v>
      </c>
    </row>
    <row r="11" spans="1:164" x14ac:dyDescent="0.3">
      <c r="A11" s="36" t="s">
        <v>122</v>
      </c>
      <c r="B11" s="1">
        <f>'7.- UpDate'!D19</f>
        <v>9.48</v>
      </c>
      <c r="C11" s="1">
        <f>'7.- UpDate'!E19</f>
        <v>9.48</v>
      </c>
      <c r="F11" s="36" t="s">
        <v>122</v>
      </c>
      <c r="G11" s="38">
        <f>'7.- UpDate'!H10</f>
        <v>9.48</v>
      </c>
      <c r="U11" s="313" t="s">
        <v>213</v>
      </c>
      <c r="V11" s="116" t="s">
        <v>197</v>
      </c>
      <c r="X11" s="140" t="s">
        <v>342</v>
      </c>
      <c r="Z11">
        <v>65</v>
      </c>
      <c r="AA11">
        <v>10</v>
      </c>
      <c r="AC11">
        <v>50</v>
      </c>
      <c r="AE11" s="52">
        <v>45413</v>
      </c>
      <c r="AG11" s="52">
        <f>'2.HistóricoConsumoEnergético'!A12</f>
        <v>45387</v>
      </c>
      <c r="AH11">
        <f>'2.HistóricoConsumoEnergético'!B12</f>
        <v>0</v>
      </c>
      <c r="AI11">
        <f>'2.HistóricoConsumoEnergético'!C12</f>
        <v>0</v>
      </c>
      <c r="AJ11">
        <f t="shared" si="0"/>
        <v>0</v>
      </c>
      <c r="AK11">
        <f>'2.HistóricoConsumoEnergético'!D12</f>
        <v>0</v>
      </c>
      <c r="AL11" t="e">
        <f t="shared" si="1"/>
        <v>#DIV/0!</v>
      </c>
      <c r="AM11" s="116" t="s">
        <v>198</v>
      </c>
      <c r="AO11" s="62">
        <f>'2.HistóricoConsumoEnergético'!A10</f>
        <v>45325</v>
      </c>
      <c r="AP11" s="1">
        <f>'2.HistóricoConsumoEnergético'!B10</f>
        <v>0</v>
      </c>
      <c r="AQ11" s="1">
        <f>'2.HistóricoConsumoEnergético'!C10</f>
        <v>0</v>
      </c>
      <c r="AR11" s="9">
        <f>'2.HistóricoConsumoEnergético'!D10</f>
        <v>0</v>
      </c>
      <c r="AS11">
        <f t="shared" si="8"/>
        <v>0</v>
      </c>
      <c r="AT11" s="9" t="str">
        <f t="shared" si="3"/>
        <v>-</v>
      </c>
      <c r="AU11" s="52">
        <f>'2.HistóricoConsumoEnergético'!G10</f>
        <v>45325</v>
      </c>
      <c r="AV11" s="52" t="str">
        <f>'2.HistóricoConsumoEnergético'!H10</f>
        <v>Balón de 10kg</v>
      </c>
      <c r="AW11">
        <f>'2.HistóricoConsumoEnergético'!I10</f>
        <v>0</v>
      </c>
      <c r="AX11">
        <f>'2.HistóricoConsumoEnergético'!J10</f>
        <v>0</v>
      </c>
      <c r="AY11" s="4">
        <f>'2.HistóricoConsumoEnergético'!K10</f>
        <v>0</v>
      </c>
      <c r="AZ11" s="66">
        <f t="shared" si="9"/>
        <v>0</v>
      </c>
      <c r="BC11" s="52">
        <f>'2.HistóricoConsumoEnergético'!M10</f>
        <v>45325</v>
      </c>
      <c r="BD11" s="52" t="str">
        <f>'2.HistóricoConsumoEnergético'!N10</f>
        <v>m3</v>
      </c>
      <c r="BE11">
        <f>'2.HistóricoConsumoEnergético'!O10</f>
        <v>0</v>
      </c>
      <c r="BF11" s="4">
        <f>'2.HistóricoConsumoEnergético'!P10</f>
        <v>0</v>
      </c>
      <c r="BG11" s="66">
        <f t="shared" si="10"/>
        <v>0</v>
      </c>
      <c r="BH11" s="52">
        <f>'2.HistóricoConsumoEnergético'!R10</f>
        <v>45325</v>
      </c>
      <c r="BI11" t="str">
        <f>'2.HistóricoConsumoEnergético'!S10</f>
        <v>gal</v>
      </c>
      <c r="BJ11">
        <f>'2.HistóricoConsumoEnergético'!T10</f>
        <v>0</v>
      </c>
      <c r="BK11" s="4">
        <f>'2.HistóricoConsumoEnergético'!U10</f>
        <v>0</v>
      </c>
      <c r="BL11" s="65">
        <f t="shared" si="11"/>
        <v>0</v>
      </c>
      <c r="BM11" s="52">
        <f>'2.HistóricoConsumoEnergético'!W10</f>
        <v>0</v>
      </c>
      <c r="BN11">
        <f>'2.HistóricoConsumoEnergético'!X10</f>
        <v>0</v>
      </c>
      <c r="BO11">
        <f>'2.HistóricoConsumoEnergético'!Y10</f>
        <v>0</v>
      </c>
      <c r="BQ11">
        <f>'1.GeneralesEmpresa'!H18</f>
        <v>0</v>
      </c>
      <c r="BR11" s="52">
        <f t="shared" si="12"/>
        <v>45325</v>
      </c>
      <c r="BS11">
        <v>0</v>
      </c>
      <c r="BT11" s="65">
        <f t="shared" si="13"/>
        <v>0</v>
      </c>
      <c r="BU11" s="4">
        <f t="shared" si="14"/>
        <v>0</v>
      </c>
      <c r="BV11" s="52">
        <f t="shared" si="15"/>
        <v>45325</v>
      </c>
      <c r="BX11" s="52">
        <f t="shared" si="16"/>
        <v>45325</v>
      </c>
      <c r="BY11" s="1">
        <f t="shared" si="17"/>
        <v>0</v>
      </c>
      <c r="BZ11" s="9">
        <f t="shared" si="18"/>
        <v>0</v>
      </c>
      <c r="CA11" s="67" t="str">
        <f t="shared" si="19"/>
        <v>0</v>
      </c>
      <c r="CB11" s="1">
        <f t="shared" si="20"/>
        <v>0</v>
      </c>
      <c r="CC11" s="9">
        <f t="shared" si="21"/>
        <v>0</v>
      </c>
      <c r="CD11" s="67" t="str">
        <f t="shared" si="22"/>
        <v>0</v>
      </c>
      <c r="CE11" s="68">
        <f t="shared" si="23"/>
        <v>0</v>
      </c>
      <c r="CF11" s="9">
        <f t="shared" si="24"/>
        <v>0</v>
      </c>
      <c r="CG11" s="9" t="str">
        <f t="shared" si="25"/>
        <v>0</v>
      </c>
      <c r="CH11" s="68">
        <f t="shared" si="26"/>
        <v>0</v>
      </c>
      <c r="CI11" s="9">
        <f t="shared" si="27"/>
        <v>0</v>
      </c>
      <c r="CJ11" s="1" t="str">
        <f t="shared" si="28"/>
        <v>0</v>
      </c>
      <c r="CK11" s="68">
        <f t="shared" si="29"/>
        <v>0</v>
      </c>
      <c r="CL11" s="68">
        <f t="shared" si="30"/>
        <v>0</v>
      </c>
      <c r="CM11" s="68" t="e">
        <f t="shared" si="31"/>
        <v>#DIV/0!</v>
      </c>
      <c r="CN11" s="67">
        <f t="shared" si="32"/>
        <v>0</v>
      </c>
      <c r="CO11" s="67">
        <f t="shared" si="33"/>
        <v>0</v>
      </c>
      <c r="CP11" s="1">
        <f>Hoja2!B6</f>
        <v>0</v>
      </c>
      <c r="CQ11" s="66" t="e">
        <f t="shared" si="34"/>
        <v>#DIV/0!</v>
      </c>
      <c r="CR11" s="66" t="str">
        <f>IFERROR(BY11/'1.GeneralesEmpresa'!G18,"-")</f>
        <v>-</v>
      </c>
      <c r="CS11" t="e">
        <f>CN11/'1.GeneralesEmpresa'!$G$10</f>
        <v>#DIV/0!</v>
      </c>
      <c r="CT11" s="80" t="str">
        <f>IFERROR(CN11/'1.GeneralesEmpresa'!G18,"-")</f>
        <v>-</v>
      </c>
      <c r="CU11" s="1">
        <f>'7.- UpDate'!$B$2*BY11</f>
        <v>0</v>
      </c>
      <c r="CV11" s="1">
        <f t="shared" si="35"/>
        <v>0</v>
      </c>
      <c r="CW11" s="68">
        <f t="shared" si="36"/>
        <v>0</v>
      </c>
      <c r="CX11" s="68">
        <f t="shared" si="37"/>
        <v>0</v>
      </c>
      <c r="CY11" s="68">
        <f t="shared" si="38"/>
        <v>0</v>
      </c>
      <c r="CZ11" s="66" t="str">
        <f>IFERROR(CY11/'1.GeneralesEmpresa'!G18,"-")</f>
        <v>-</v>
      </c>
      <c r="DB11" s="66">
        <f t="shared" si="39"/>
        <v>0</v>
      </c>
      <c r="DC11" t="str">
        <f>IF('4.Ident.Princip.Consumos'!M12="Monofásico","Monofásico","Trifásico")</f>
        <v>Monofásico</v>
      </c>
      <c r="DD11" s="84" t="str">
        <f>IF('4.Ident.Princip.Consumos'!J12="","-",'4.Ident.Princip.Consumos'!J12)</f>
        <v>-</v>
      </c>
      <c r="DE11" s="84" t="str">
        <f>IF('4.Ident.Princip.Consumos'!K12="","-",'4.Ident.Princip.Consumos'!K12)</f>
        <v>-</v>
      </c>
      <c r="DF11" s="84" t="str">
        <f>IF('4.Ident.Princip.Consumos'!L12="","-",'4.Ident.Princip.Consumos'!L12)</f>
        <v>-</v>
      </c>
      <c r="DG11" t="e">
        <f t="shared" si="40"/>
        <v>#DIV/0!</v>
      </c>
      <c r="DH11" t="str">
        <f t="shared" si="41"/>
        <v>Monofásico</v>
      </c>
      <c r="DI11" t="e">
        <f>('4.Ident.Princip.Consumos'!I12*Hoja1!DG11*'4.Ident.Princip.Consumos'!$E$30*1.732)/1000</f>
        <v>#DIV/0!</v>
      </c>
      <c r="DJ11" t="e">
        <f>('4.Ident.Princip.Consumos'!I12*Hoja1!DD11*'4.Ident.Princip.Consumos'!$E$30)/1000</f>
        <v>#VALUE!</v>
      </c>
      <c r="DK11" s="3" t="e">
        <f t="shared" si="42"/>
        <v>#VALUE!</v>
      </c>
      <c r="DL11" t="e">
        <f>(CS33*CU33)/'4.Ident.Princip.Consumos'!$E$31</f>
        <v>#VALUE!</v>
      </c>
      <c r="DM11" s="72" t="e">
        <f t="shared" si="43"/>
        <v>#VALUE!</v>
      </c>
      <c r="DN11" s="3" t="e">
        <f>DL11/('4.Ident.Princip.Consumos'!$E$30*'4.Ident.Princip.Consumos'!I12*1.732)*1000</f>
        <v>#VALUE!</v>
      </c>
      <c r="DO11" s="3" t="e">
        <f>DL11/('4.Ident.Princip.Consumos'!$E$30*'4.Ident.Princip.Consumos'!I12)*1000</f>
        <v>#VALUE!</v>
      </c>
      <c r="DP11" s="3" t="e">
        <f t="shared" si="44"/>
        <v>#VALUE!</v>
      </c>
      <c r="DQ11" t="e">
        <f>DN11*'4.Ident.Princip.Consumos'!I12*0.8*1.732/1000</f>
        <v>#VALUE!</v>
      </c>
      <c r="DR11" s="72" t="str">
        <f t="shared" si="4"/>
        <v>-</v>
      </c>
      <c r="DS11" s="72" t="str">
        <f t="shared" si="4"/>
        <v>-</v>
      </c>
      <c r="DT11" s="72" t="str">
        <f t="shared" si="4"/>
        <v>-</v>
      </c>
      <c r="DU11" s="72" t="str">
        <f t="shared" si="45"/>
        <v>-</v>
      </c>
      <c r="DV11" s="72" t="str">
        <f t="shared" si="46"/>
        <v>-</v>
      </c>
      <c r="DW11" s="72" t="str">
        <f t="shared" si="47"/>
        <v>-</v>
      </c>
      <c r="DX11" s="72" t="str">
        <f t="shared" si="48"/>
        <v>-</v>
      </c>
      <c r="DY11" t="str">
        <f t="shared" si="49"/>
        <v>-</v>
      </c>
      <c r="DZ11" t="str">
        <f t="shared" si="50"/>
        <v>-</v>
      </c>
      <c r="EA11" s="72" t="str">
        <f t="shared" si="51"/>
        <v>-</v>
      </c>
      <c r="EB11" s="73" t="str">
        <f t="shared" si="52"/>
        <v>-</v>
      </c>
      <c r="EC11" s="73" t="str">
        <f t="shared" si="53"/>
        <v>-</v>
      </c>
      <c r="ED11" s="73" t="str">
        <f t="shared" si="54"/>
        <v>-</v>
      </c>
      <c r="EE11" s="73" t="str">
        <f t="shared" si="71"/>
        <v>-</v>
      </c>
      <c r="EF11" s="72" t="str">
        <f t="shared" si="55"/>
        <v>-</v>
      </c>
      <c r="EG11" s="72" t="str">
        <f t="shared" si="56"/>
        <v>-</v>
      </c>
      <c r="EH11" s="72" t="str">
        <f t="shared" si="57"/>
        <v>-</v>
      </c>
      <c r="EI11" s="72" t="str">
        <f t="shared" si="58"/>
        <v>-</v>
      </c>
      <c r="EJ11" s="7" t="str">
        <f t="shared" si="59"/>
        <v>-</v>
      </c>
      <c r="EK11" s="87" t="str">
        <f t="shared" si="60"/>
        <v>-</v>
      </c>
      <c r="EL11" s="87" t="str">
        <f t="shared" si="61"/>
        <v>-</v>
      </c>
      <c r="EM11" s="87" t="str">
        <f t="shared" si="62"/>
        <v>-</v>
      </c>
      <c r="EN11" s="88" t="str">
        <f t="shared" si="63"/>
        <v>-</v>
      </c>
      <c r="EQ11" s="73" t="e">
        <f t="shared" si="64"/>
        <v>#VALUE!</v>
      </c>
      <c r="ER11" t="e">
        <f t="shared" si="65"/>
        <v>#VALUE!</v>
      </c>
      <c r="ES11" t="e">
        <f t="shared" si="66"/>
        <v>#VALUE!</v>
      </c>
      <c r="ET11" t="e">
        <f t="shared" si="67"/>
        <v>#VALUE!</v>
      </c>
      <c r="EU11" s="11" t="str">
        <f t="shared" si="68"/>
        <v>-</v>
      </c>
      <c r="EX11">
        <f>'4.Ident.Princip.Consumos'!O12</f>
        <v>0</v>
      </c>
      <c r="EY11">
        <f>'4.Ident.Princip.Consumos'!P12</f>
        <v>0</v>
      </c>
      <c r="EZ11">
        <f>'4.Ident.Princip.Consumos'!Q12</f>
        <v>0</v>
      </c>
      <c r="FA11" t="e">
        <f>((((((EX11+EY11+EZ11)/3))*1.732*'4.Ident.Princip.Consumos'!I12*'4.Ident.Princip.Consumos'!$E$30)/1000)*'4.Ident.Princip.Consumos'!G12*4.34*12)*$AT$19</f>
        <v>#DIV/0!</v>
      </c>
      <c r="FB11" t="e">
        <f>(((EX11*'4.Ident.Princip.Consumos'!$E$30*'4.Ident.Princip.Consumos'!I12)/1000)*'4.Ident.Princip.Consumos'!G12*4.34*12)*$AT$19</f>
        <v>#DIV/0!</v>
      </c>
      <c r="FC11" t="e">
        <f t="shared" si="69"/>
        <v>#DIV/0!</v>
      </c>
      <c r="FD11" t="e">
        <f t="shared" si="70"/>
        <v>#DIV/0!</v>
      </c>
      <c r="FH11" s="73">
        <f t="shared" si="72"/>
        <v>1.1499999999999999</v>
      </c>
    </row>
    <row r="12" spans="1:164" x14ac:dyDescent="0.3">
      <c r="A12" s="37" t="s">
        <v>127</v>
      </c>
      <c r="B12" s="1">
        <f>'7.- UpDate'!D20</f>
        <v>0.36030000000000001</v>
      </c>
      <c r="C12" s="1">
        <f>'7.- UpDate'!E20</f>
        <v>0.3327</v>
      </c>
      <c r="F12" s="1" t="s">
        <v>199</v>
      </c>
      <c r="G12" s="38">
        <f>'7.- UpDate'!H11</f>
        <v>0</v>
      </c>
      <c r="V12" s="116" t="s">
        <v>200</v>
      </c>
      <c r="X12" s="140" t="s">
        <v>343</v>
      </c>
      <c r="Z12">
        <v>70</v>
      </c>
      <c r="AA12">
        <v>11</v>
      </c>
      <c r="AC12">
        <v>55</v>
      </c>
      <c r="AE12" s="52">
        <v>45444</v>
      </c>
      <c r="AG12" s="52">
        <f>'2.HistóricoConsumoEnergético'!A13</f>
        <v>45418</v>
      </c>
      <c r="AH12">
        <f>'2.HistóricoConsumoEnergético'!B13</f>
        <v>0</v>
      </c>
      <c r="AI12">
        <f>'2.HistóricoConsumoEnergético'!C13</f>
        <v>0</v>
      </c>
      <c r="AJ12">
        <f t="shared" si="0"/>
        <v>0</v>
      </c>
      <c r="AK12">
        <f>'2.HistóricoConsumoEnergético'!D13</f>
        <v>0</v>
      </c>
      <c r="AL12" t="e">
        <f t="shared" si="1"/>
        <v>#DIV/0!</v>
      </c>
      <c r="AM12" s="116" t="s">
        <v>201</v>
      </c>
      <c r="AO12" s="62">
        <f>'2.HistóricoConsumoEnergético'!A11</f>
        <v>45356</v>
      </c>
      <c r="AP12" s="1">
        <f>'2.HistóricoConsumoEnergético'!B11</f>
        <v>0</v>
      </c>
      <c r="AQ12" s="1">
        <f>'2.HistóricoConsumoEnergético'!C11</f>
        <v>0</v>
      </c>
      <c r="AR12" s="9">
        <f>'2.HistóricoConsumoEnergético'!D11</f>
        <v>0</v>
      </c>
      <c r="AS12">
        <f t="shared" si="8"/>
        <v>0</v>
      </c>
      <c r="AT12" s="9" t="str">
        <f t="shared" si="3"/>
        <v>-</v>
      </c>
      <c r="AU12" s="52">
        <f>'2.HistóricoConsumoEnergético'!G11</f>
        <v>45356</v>
      </c>
      <c r="AV12" s="52" t="str">
        <f>'2.HistóricoConsumoEnergético'!H11</f>
        <v>Balón de 10kg</v>
      </c>
      <c r="AW12">
        <f>'2.HistóricoConsumoEnergético'!I11</f>
        <v>0</v>
      </c>
      <c r="AX12">
        <f>'2.HistóricoConsumoEnergético'!J11</f>
        <v>0</v>
      </c>
      <c r="AY12" s="4">
        <f>'2.HistóricoConsumoEnergético'!K11</f>
        <v>0</v>
      </c>
      <c r="AZ12" s="66">
        <f t="shared" si="9"/>
        <v>0</v>
      </c>
      <c r="BC12" s="52">
        <f>'2.HistóricoConsumoEnergético'!M11</f>
        <v>45356</v>
      </c>
      <c r="BD12" s="52" t="str">
        <f>'2.HistóricoConsumoEnergético'!N11</f>
        <v>m3</v>
      </c>
      <c r="BE12">
        <f>'2.HistóricoConsumoEnergético'!O11</f>
        <v>0</v>
      </c>
      <c r="BF12" s="4">
        <f>'2.HistóricoConsumoEnergético'!P11</f>
        <v>0</v>
      </c>
      <c r="BG12" s="66">
        <f t="shared" si="10"/>
        <v>0</v>
      </c>
      <c r="BH12" s="52">
        <f>'2.HistóricoConsumoEnergético'!R11</f>
        <v>45356</v>
      </c>
      <c r="BI12" t="str">
        <f>'2.HistóricoConsumoEnergético'!S11</f>
        <v>gal</v>
      </c>
      <c r="BJ12">
        <f>'2.HistóricoConsumoEnergético'!T11</f>
        <v>0</v>
      </c>
      <c r="BK12" s="4">
        <f>'2.HistóricoConsumoEnergético'!U11</f>
        <v>0</v>
      </c>
      <c r="BL12" s="65">
        <f t="shared" si="11"/>
        <v>0</v>
      </c>
      <c r="BM12" s="52">
        <f>'2.HistóricoConsumoEnergético'!W11</f>
        <v>0</v>
      </c>
      <c r="BN12">
        <f>'2.HistóricoConsumoEnergético'!X11</f>
        <v>0</v>
      </c>
      <c r="BO12">
        <f>'2.HistóricoConsumoEnergético'!Y11</f>
        <v>0</v>
      </c>
      <c r="BQ12">
        <f>'1.GeneralesEmpresa'!H19</f>
        <v>0</v>
      </c>
      <c r="BR12" s="52">
        <f t="shared" si="12"/>
        <v>45356</v>
      </c>
      <c r="BS12">
        <v>0</v>
      </c>
      <c r="BT12" s="65">
        <f t="shared" si="13"/>
        <v>0</v>
      </c>
      <c r="BU12" s="4">
        <f t="shared" si="14"/>
        <v>0</v>
      </c>
      <c r="BV12" s="52">
        <f t="shared" si="15"/>
        <v>45356</v>
      </c>
      <c r="BX12" s="52">
        <f t="shared" si="16"/>
        <v>45356</v>
      </c>
      <c r="BY12" s="1">
        <f t="shared" si="17"/>
        <v>0</v>
      </c>
      <c r="BZ12" s="9">
        <f t="shared" si="18"/>
        <v>0</v>
      </c>
      <c r="CA12" s="67" t="str">
        <f t="shared" si="19"/>
        <v>0</v>
      </c>
      <c r="CB12" s="1">
        <f t="shared" si="20"/>
        <v>0</v>
      </c>
      <c r="CC12" s="9">
        <f t="shared" si="21"/>
        <v>0</v>
      </c>
      <c r="CD12" s="67" t="str">
        <f t="shared" si="22"/>
        <v>0</v>
      </c>
      <c r="CE12" s="68">
        <f t="shared" si="23"/>
        <v>0</v>
      </c>
      <c r="CF12" s="9">
        <f t="shared" si="24"/>
        <v>0</v>
      </c>
      <c r="CG12" s="9" t="str">
        <f t="shared" si="25"/>
        <v>0</v>
      </c>
      <c r="CH12" s="68">
        <f t="shared" si="26"/>
        <v>0</v>
      </c>
      <c r="CI12" s="9">
        <f t="shared" si="27"/>
        <v>0</v>
      </c>
      <c r="CJ12" s="1" t="str">
        <f t="shared" si="28"/>
        <v>0</v>
      </c>
      <c r="CK12" s="68">
        <f t="shared" si="29"/>
        <v>0</v>
      </c>
      <c r="CL12" s="68">
        <f t="shared" si="30"/>
        <v>0</v>
      </c>
      <c r="CM12" s="68" t="e">
        <f t="shared" si="31"/>
        <v>#DIV/0!</v>
      </c>
      <c r="CN12" s="67">
        <f t="shared" si="32"/>
        <v>0</v>
      </c>
      <c r="CO12" s="67">
        <f t="shared" si="33"/>
        <v>0</v>
      </c>
      <c r="CP12" s="1">
        <f>Hoja2!B7</f>
        <v>0</v>
      </c>
      <c r="CQ12" s="66" t="e">
        <f t="shared" si="34"/>
        <v>#DIV/0!</v>
      </c>
      <c r="CR12" s="66" t="str">
        <f>IFERROR(BY12/'1.GeneralesEmpresa'!G19,"-")</f>
        <v>-</v>
      </c>
      <c r="CS12" t="e">
        <f>CN12/'1.GeneralesEmpresa'!$G$10</f>
        <v>#DIV/0!</v>
      </c>
      <c r="CT12" s="80" t="str">
        <f>IFERROR(CN12/'1.GeneralesEmpresa'!G19,"-")</f>
        <v>-</v>
      </c>
      <c r="CU12" s="1">
        <f>'7.- UpDate'!$B$2*BY12</f>
        <v>0</v>
      </c>
      <c r="CV12" s="1">
        <f t="shared" si="35"/>
        <v>0</v>
      </c>
      <c r="CW12" s="68">
        <f t="shared" si="36"/>
        <v>0</v>
      </c>
      <c r="CX12" s="68">
        <f t="shared" si="37"/>
        <v>0</v>
      </c>
      <c r="CY12" s="68">
        <f t="shared" si="38"/>
        <v>0</v>
      </c>
      <c r="CZ12" s="66" t="str">
        <f>IFERROR(CY12/'1.GeneralesEmpresa'!G19,"-")</f>
        <v>-</v>
      </c>
      <c r="DB12" s="66">
        <f t="shared" si="39"/>
        <v>0</v>
      </c>
      <c r="DC12" t="str">
        <f>IF('4.Ident.Princip.Consumos'!M13="Monofásico","Monofásico","Trifásico")</f>
        <v>Monofásico</v>
      </c>
      <c r="DD12" s="84" t="str">
        <f>IF('4.Ident.Princip.Consumos'!J13="","-",'4.Ident.Princip.Consumos'!J13)</f>
        <v>-</v>
      </c>
      <c r="DE12" s="84" t="str">
        <f>IF('4.Ident.Princip.Consumos'!K13="","-",'4.Ident.Princip.Consumos'!K13)</f>
        <v>-</v>
      </c>
      <c r="DF12" s="84" t="str">
        <f>IF('4.Ident.Princip.Consumos'!L13="","-",'4.Ident.Princip.Consumos'!L13)</f>
        <v>-</v>
      </c>
      <c r="DG12" t="e">
        <f t="shared" si="40"/>
        <v>#DIV/0!</v>
      </c>
      <c r="DH12" t="str">
        <f t="shared" si="41"/>
        <v>Monofásico</v>
      </c>
      <c r="DI12" t="e">
        <f>('4.Ident.Princip.Consumos'!I13*Hoja1!DG12*'4.Ident.Princip.Consumos'!$E$30*1.732)/1000</f>
        <v>#DIV/0!</v>
      </c>
      <c r="DJ12" t="e">
        <f>('4.Ident.Princip.Consumos'!I13*Hoja1!DD12*'4.Ident.Princip.Consumos'!$E$30)/1000</f>
        <v>#VALUE!</v>
      </c>
      <c r="DK12" s="3" t="e">
        <f t="shared" si="42"/>
        <v>#VALUE!</v>
      </c>
      <c r="DL12" t="e">
        <f>(CS34*CU34)/'4.Ident.Princip.Consumos'!$E$31</f>
        <v>#VALUE!</v>
      </c>
      <c r="DM12" s="72" t="e">
        <f t="shared" si="43"/>
        <v>#VALUE!</v>
      </c>
      <c r="DN12" s="3" t="e">
        <f>DL12/('4.Ident.Princip.Consumos'!$E$30*'4.Ident.Princip.Consumos'!I13*1.732)*1000</f>
        <v>#VALUE!</v>
      </c>
      <c r="DO12" s="3" t="e">
        <f>DL12/('4.Ident.Princip.Consumos'!$E$30*'4.Ident.Princip.Consumos'!I13)*1000</f>
        <v>#VALUE!</v>
      </c>
      <c r="DP12" s="3" t="e">
        <f t="shared" si="44"/>
        <v>#VALUE!</v>
      </c>
      <c r="DQ12" t="e">
        <f>DN12*'4.Ident.Princip.Consumos'!I13*0.8*1.732/1000</f>
        <v>#VALUE!</v>
      </c>
      <c r="DR12" s="72" t="str">
        <f t="shared" si="4"/>
        <v>-</v>
      </c>
      <c r="DS12" s="72" t="str">
        <f t="shared" si="4"/>
        <v>-</v>
      </c>
      <c r="DT12" s="72" t="str">
        <f t="shared" si="4"/>
        <v>-</v>
      </c>
      <c r="DU12" s="72" t="str">
        <f t="shared" si="45"/>
        <v>-</v>
      </c>
      <c r="DV12" s="72" t="str">
        <f t="shared" si="46"/>
        <v>-</v>
      </c>
      <c r="DW12" s="72" t="str">
        <f t="shared" si="47"/>
        <v>-</v>
      </c>
      <c r="DX12" s="72" t="str">
        <f t="shared" si="48"/>
        <v>-</v>
      </c>
      <c r="DY12" t="str">
        <f t="shared" si="49"/>
        <v>-</v>
      </c>
      <c r="DZ12" t="str">
        <f t="shared" si="50"/>
        <v>-</v>
      </c>
      <c r="EA12" s="72" t="str">
        <f t="shared" si="51"/>
        <v>-</v>
      </c>
      <c r="EB12" s="73" t="str">
        <f t="shared" si="52"/>
        <v>-</v>
      </c>
      <c r="EC12" s="73" t="str">
        <f t="shared" si="53"/>
        <v>-</v>
      </c>
      <c r="ED12" s="73" t="str">
        <f t="shared" si="54"/>
        <v>-</v>
      </c>
      <c r="EE12" s="73" t="str">
        <f t="shared" si="71"/>
        <v>-</v>
      </c>
      <c r="EF12" s="72" t="str">
        <f t="shared" si="55"/>
        <v>-</v>
      </c>
      <c r="EG12" s="72" t="str">
        <f t="shared" si="56"/>
        <v>-</v>
      </c>
      <c r="EH12" s="72" t="str">
        <f t="shared" si="57"/>
        <v>-</v>
      </c>
      <c r="EI12" s="72" t="str">
        <f t="shared" si="58"/>
        <v>-</v>
      </c>
      <c r="EJ12" s="7" t="str">
        <f t="shared" si="59"/>
        <v>-</v>
      </c>
      <c r="EK12" s="87" t="str">
        <f t="shared" si="60"/>
        <v>-</v>
      </c>
      <c r="EL12" s="87" t="str">
        <f t="shared" si="61"/>
        <v>-</v>
      </c>
      <c r="EM12" s="87" t="str">
        <f t="shared" si="62"/>
        <v>-</v>
      </c>
      <c r="EN12" s="88" t="str">
        <f t="shared" si="63"/>
        <v>-</v>
      </c>
      <c r="EQ12" s="73" t="e">
        <f t="shared" si="64"/>
        <v>#VALUE!</v>
      </c>
      <c r="ER12" t="e">
        <f>DK12-DL12</f>
        <v>#VALUE!</v>
      </c>
      <c r="ES12" t="e">
        <f t="shared" si="66"/>
        <v>#VALUE!</v>
      </c>
      <c r="ET12" t="e">
        <f t="shared" si="67"/>
        <v>#VALUE!</v>
      </c>
      <c r="EU12" s="11" t="str">
        <f t="shared" si="68"/>
        <v>-</v>
      </c>
      <c r="EX12">
        <f>'4.Ident.Princip.Consumos'!O13</f>
        <v>0</v>
      </c>
      <c r="EY12">
        <f>'4.Ident.Princip.Consumos'!P13</f>
        <v>0</v>
      </c>
      <c r="EZ12">
        <f>'4.Ident.Princip.Consumos'!Q13</f>
        <v>0</v>
      </c>
      <c r="FA12" t="e">
        <f>((((((EX12+EY12+EZ12)/3))*1.732*'4.Ident.Princip.Consumos'!I13*'4.Ident.Princip.Consumos'!$E$30)/1000)*'4.Ident.Princip.Consumos'!G13*4.34*12)*$AT$19</f>
        <v>#DIV/0!</v>
      </c>
      <c r="FB12" t="e">
        <f>(((EX12*'4.Ident.Princip.Consumos'!$E$30*'4.Ident.Princip.Consumos'!I13)/1000)*'4.Ident.Princip.Consumos'!G13*4.34*12)*$AT$19</f>
        <v>#DIV/0!</v>
      </c>
      <c r="FC12" t="e">
        <f t="shared" si="69"/>
        <v>#DIV/0!</v>
      </c>
      <c r="FD12" t="e">
        <f t="shared" si="70"/>
        <v>#DIV/0!</v>
      </c>
      <c r="FH12" s="73">
        <f t="shared" si="72"/>
        <v>1.1499999999999999</v>
      </c>
    </row>
    <row r="13" spans="1:164" x14ac:dyDescent="0.3">
      <c r="A13" s="36" t="s">
        <v>136</v>
      </c>
      <c r="B13" s="1">
        <f>'7.- UpDate'!D21</f>
        <v>0.30120000000000002</v>
      </c>
      <c r="C13" s="1">
        <f>'7.- UpDate'!E21</f>
        <v>0.2782</v>
      </c>
      <c r="F13" s="39" t="s">
        <v>127</v>
      </c>
      <c r="G13" s="38">
        <f>'7.- UpDate'!H12</f>
        <v>2.0501</v>
      </c>
      <c r="V13" s="116" t="s">
        <v>202</v>
      </c>
      <c r="X13" s="140" t="s">
        <v>344</v>
      </c>
      <c r="Z13">
        <v>75</v>
      </c>
      <c r="AA13">
        <v>12</v>
      </c>
      <c r="AC13">
        <v>60</v>
      </c>
      <c r="AE13" s="52">
        <v>45474</v>
      </c>
      <c r="AG13" s="52">
        <f>'2.HistóricoConsumoEnergético'!A14</f>
        <v>45449</v>
      </c>
      <c r="AH13">
        <f>'2.HistóricoConsumoEnergético'!B14</f>
        <v>0</v>
      </c>
      <c r="AI13">
        <f>'2.HistóricoConsumoEnergético'!C14</f>
        <v>0</v>
      </c>
      <c r="AJ13">
        <f t="shared" si="0"/>
        <v>0</v>
      </c>
      <c r="AK13">
        <f>'2.HistóricoConsumoEnergético'!D14</f>
        <v>0</v>
      </c>
      <c r="AL13" t="e">
        <f t="shared" si="1"/>
        <v>#DIV/0!</v>
      </c>
      <c r="AM13" s="116" t="s">
        <v>203</v>
      </c>
      <c r="AO13" s="62">
        <f>'2.HistóricoConsumoEnergético'!A12</f>
        <v>45387</v>
      </c>
      <c r="AP13" s="1">
        <f>'2.HistóricoConsumoEnergético'!B12</f>
        <v>0</v>
      </c>
      <c r="AQ13" s="1">
        <f>'2.HistóricoConsumoEnergético'!C12</f>
        <v>0</v>
      </c>
      <c r="AR13" s="9">
        <f>'2.HistóricoConsumoEnergético'!D12</f>
        <v>0</v>
      </c>
      <c r="AS13">
        <f t="shared" si="8"/>
        <v>0</v>
      </c>
      <c r="AT13" s="9" t="str">
        <f>IFERROR((AR13/(AP13+AQ13)),"-")</f>
        <v>-</v>
      </c>
      <c r="AU13" s="52">
        <f>'2.HistóricoConsumoEnergético'!G12</f>
        <v>45387</v>
      </c>
      <c r="AV13" s="52" t="str">
        <f>'2.HistóricoConsumoEnergético'!H12</f>
        <v>Balón de 10kg</v>
      </c>
      <c r="AW13">
        <f>'2.HistóricoConsumoEnergético'!I12</f>
        <v>0</v>
      </c>
      <c r="AX13">
        <f>'2.HistóricoConsumoEnergético'!J12</f>
        <v>0</v>
      </c>
      <c r="AY13" s="4">
        <f>'2.HistóricoConsumoEnergético'!K12</f>
        <v>0</v>
      </c>
      <c r="AZ13" s="66">
        <f t="shared" si="9"/>
        <v>0</v>
      </c>
      <c r="BC13" s="52">
        <f>'2.HistóricoConsumoEnergético'!M12</f>
        <v>45387</v>
      </c>
      <c r="BD13" s="52" t="str">
        <f>'2.HistóricoConsumoEnergético'!N12</f>
        <v>m3</v>
      </c>
      <c r="BE13">
        <f>'2.HistóricoConsumoEnergético'!O12</f>
        <v>0</v>
      </c>
      <c r="BF13" s="4">
        <f>'2.HistóricoConsumoEnergético'!P12</f>
        <v>0</v>
      </c>
      <c r="BG13" s="66">
        <f t="shared" si="10"/>
        <v>0</v>
      </c>
      <c r="BH13" s="52">
        <f>'2.HistóricoConsumoEnergético'!R12</f>
        <v>45387</v>
      </c>
      <c r="BI13" t="str">
        <f>'2.HistóricoConsumoEnergético'!S12</f>
        <v>gal</v>
      </c>
      <c r="BJ13">
        <f>'2.HistóricoConsumoEnergético'!T12</f>
        <v>0</v>
      </c>
      <c r="BK13" s="4">
        <f>'2.HistóricoConsumoEnergético'!U12</f>
        <v>0</v>
      </c>
      <c r="BL13" s="65">
        <f t="shared" si="11"/>
        <v>0</v>
      </c>
      <c r="BM13" s="52">
        <f>'2.HistóricoConsumoEnergético'!W12</f>
        <v>0</v>
      </c>
      <c r="BN13">
        <f>'2.HistóricoConsumoEnergético'!X12</f>
        <v>0</v>
      </c>
      <c r="BO13">
        <f>'2.HistóricoConsumoEnergético'!Y12</f>
        <v>0</v>
      </c>
      <c r="BQ13">
        <f>'1.GeneralesEmpresa'!H20</f>
        <v>0</v>
      </c>
      <c r="BR13" s="52">
        <f t="shared" si="12"/>
        <v>45387</v>
      </c>
      <c r="BS13">
        <v>0</v>
      </c>
      <c r="BT13" s="65">
        <f t="shared" si="13"/>
        <v>0</v>
      </c>
      <c r="BU13" s="4">
        <f t="shared" si="14"/>
        <v>0</v>
      </c>
      <c r="BV13" s="52">
        <f t="shared" si="15"/>
        <v>45387</v>
      </c>
      <c r="BX13" s="52">
        <f t="shared" si="16"/>
        <v>45387</v>
      </c>
      <c r="BY13" s="1">
        <f t="shared" si="17"/>
        <v>0</v>
      </c>
      <c r="BZ13" s="9">
        <f t="shared" si="18"/>
        <v>0</v>
      </c>
      <c r="CA13" s="67" t="str">
        <f t="shared" si="19"/>
        <v>0</v>
      </c>
      <c r="CB13" s="1">
        <f t="shared" si="20"/>
        <v>0</v>
      </c>
      <c r="CC13" s="9">
        <f t="shared" si="21"/>
        <v>0</v>
      </c>
      <c r="CD13" s="67" t="str">
        <f t="shared" si="22"/>
        <v>0</v>
      </c>
      <c r="CE13" s="68">
        <f t="shared" si="23"/>
        <v>0</v>
      </c>
      <c r="CF13" s="9">
        <f t="shared" si="24"/>
        <v>0</v>
      </c>
      <c r="CG13" s="9" t="str">
        <f t="shared" si="25"/>
        <v>0</v>
      </c>
      <c r="CH13" s="68">
        <f t="shared" si="26"/>
        <v>0</v>
      </c>
      <c r="CI13" s="9">
        <f t="shared" si="27"/>
        <v>0</v>
      </c>
      <c r="CJ13" s="1" t="str">
        <f t="shared" si="28"/>
        <v>0</v>
      </c>
      <c r="CK13" s="68">
        <f t="shared" si="29"/>
        <v>0</v>
      </c>
      <c r="CL13" s="68">
        <f t="shared" si="30"/>
        <v>0</v>
      </c>
      <c r="CM13" s="68" t="e">
        <f t="shared" si="31"/>
        <v>#DIV/0!</v>
      </c>
      <c r="CN13" s="67">
        <f t="shared" si="32"/>
        <v>0</v>
      </c>
      <c r="CO13" s="67">
        <f t="shared" si="33"/>
        <v>0</v>
      </c>
      <c r="CP13" s="1">
        <f>Hoja2!B8</f>
        <v>0</v>
      </c>
      <c r="CQ13" s="66" t="e">
        <f t="shared" si="34"/>
        <v>#DIV/0!</v>
      </c>
      <c r="CR13" s="66" t="str">
        <f>IFERROR(BY13/'1.GeneralesEmpresa'!G20,"-")</f>
        <v>-</v>
      </c>
      <c r="CS13" t="e">
        <f>CN13/'1.GeneralesEmpresa'!$G$10</f>
        <v>#DIV/0!</v>
      </c>
      <c r="CT13" s="80" t="str">
        <f>IFERROR(CN13/'1.GeneralesEmpresa'!G20,"-")</f>
        <v>-</v>
      </c>
      <c r="CU13" s="1">
        <f>'7.- UpDate'!$B$2*BY13</f>
        <v>0</v>
      </c>
      <c r="CV13" s="1">
        <f t="shared" si="35"/>
        <v>0</v>
      </c>
      <c r="CW13" s="68">
        <f t="shared" si="36"/>
        <v>0</v>
      </c>
      <c r="CX13" s="68">
        <f t="shared" si="37"/>
        <v>0</v>
      </c>
      <c r="CY13" s="68">
        <f t="shared" si="38"/>
        <v>0</v>
      </c>
      <c r="CZ13" s="66" t="str">
        <f>IFERROR(CY13/'1.GeneralesEmpresa'!G20,"-")</f>
        <v>-</v>
      </c>
      <c r="DB13" s="66">
        <f t="shared" si="39"/>
        <v>0</v>
      </c>
      <c r="DC13" t="str">
        <f>IF('4.Ident.Princip.Consumos'!M14="Monofásico","Monofásico","Trifásico")</f>
        <v>Monofásico</v>
      </c>
      <c r="DD13" s="84" t="str">
        <f>IF('4.Ident.Princip.Consumos'!J14="","-",'4.Ident.Princip.Consumos'!J14)</f>
        <v>-</v>
      </c>
      <c r="DE13" s="84" t="str">
        <f>IF('4.Ident.Princip.Consumos'!K14="","-",'4.Ident.Princip.Consumos'!K14)</f>
        <v>-</v>
      </c>
      <c r="DF13" s="84" t="str">
        <f>IF('4.Ident.Princip.Consumos'!L14="","-",'4.Ident.Princip.Consumos'!L14)</f>
        <v>-</v>
      </c>
      <c r="DG13" t="e">
        <f t="shared" si="40"/>
        <v>#DIV/0!</v>
      </c>
      <c r="DH13" t="str">
        <f t="shared" si="41"/>
        <v>Monofásico</v>
      </c>
      <c r="DI13" t="e">
        <f>('4.Ident.Princip.Consumos'!I14*Hoja1!DG13*'4.Ident.Princip.Consumos'!$E$30*1.732)/1000</f>
        <v>#DIV/0!</v>
      </c>
      <c r="DJ13" t="e">
        <f>('4.Ident.Princip.Consumos'!I14*Hoja1!DD13*'4.Ident.Princip.Consumos'!$E$30)/1000</f>
        <v>#VALUE!</v>
      </c>
      <c r="DK13" s="3" t="e">
        <f t="shared" si="42"/>
        <v>#VALUE!</v>
      </c>
      <c r="DL13" t="e">
        <f>(CS35*CU35)/'4.Ident.Princip.Consumos'!$E$31</f>
        <v>#VALUE!</v>
      </c>
      <c r="DM13" s="72" t="e">
        <f t="shared" si="43"/>
        <v>#VALUE!</v>
      </c>
      <c r="DN13" s="3" t="e">
        <f>DL13/('4.Ident.Princip.Consumos'!$E$30*'4.Ident.Princip.Consumos'!I14*1.732)*1000</f>
        <v>#VALUE!</v>
      </c>
      <c r="DO13" s="3" t="e">
        <f>DL13/('4.Ident.Princip.Consumos'!$E$30*'4.Ident.Princip.Consumos'!I14)*1000</f>
        <v>#VALUE!</v>
      </c>
      <c r="DP13" s="3" t="e">
        <f t="shared" si="44"/>
        <v>#VALUE!</v>
      </c>
      <c r="DQ13" t="e">
        <f>DN13*'4.Ident.Princip.Consumos'!I14*0.8*1.732/1000</f>
        <v>#VALUE!</v>
      </c>
      <c r="DR13" s="72" t="str">
        <f t="shared" si="4"/>
        <v>-</v>
      </c>
      <c r="DS13" s="72" t="str">
        <f t="shared" si="4"/>
        <v>-</v>
      </c>
      <c r="DT13" s="72" t="str">
        <f t="shared" si="4"/>
        <v>-</v>
      </c>
      <c r="DU13" s="72" t="str">
        <f t="shared" si="45"/>
        <v>-</v>
      </c>
      <c r="DV13" s="72" t="str">
        <f t="shared" si="46"/>
        <v>-</v>
      </c>
      <c r="DW13" s="72" t="str">
        <f t="shared" si="47"/>
        <v>-</v>
      </c>
      <c r="DX13" s="72" t="str">
        <f t="shared" si="48"/>
        <v>-</v>
      </c>
      <c r="DY13" t="str">
        <f t="shared" si="49"/>
        <v>-</v>
      </c>
      <c r="DZ13" t="str">
        <f t="shared" si="50"/>
        <v>-</v>
      </c>
      <c r="EA13" s="72" t="str">
        <f t="shared" si="51"/>
        <v>-</v>
      </c>
      <c r="EB13" s="73" t="str">
        <f t="shared" si="52"/>
        <v>-</v>
      </c>
      <c r="EC13" s="73" t="str">
        <f t="shared" si="53"/>
        <v>-</v>
      </c>
      <c r="ED13" s="73" t="str">
        <f t="shared" si="54"/>
        <v>-</v>
      </c>
      <c r="EE13" s="73" t="str">
        <f t="shared" si="71"/>
        <v>-</v>
      </c>
      <c r="EF13" s="72" t="str">
        <f t="shared" si="55"/>
        <v>-</v>
      </c>
      <c r="EG13" s="72" t="str">
        <f t="shared" si="56"/>
        <v>-</v>
      </c>
      <c r="EH13" s="72" t="str">
        <f t="shared" si="57"/>
        <v>-</v>
      </c>
      <c r="EI13" s="72" t="str">
        <f t="shared" si="58"/>
        <v>-</v>
      </c>
      <c r="EJ13" s="7" t="str">
        <f t="shared" si="59"/>
        <v>-</v>
      </c>
      <c r="EK13" s="87" t="str">
        <f t="shared" si="60"/>
        <v>-</v>
      </c>
      <c r="EL13" s="87" t="str">
        <f t="shared" si="61"/>
        <v>-</v>
      </c>
      <c r="EM13" s="87" t="str">
        <f t="shared" si="62"/>
        <v>-</v>
      </c>
      <c r="EN13" s="88" t="str">
        <f t="shared" si="63"/>
        <v>-</v>
      </c>
      <c r="EQ13" s="73" t="e">
        <f t="shared" si="64"/>
        <v>#VALUE!</v>
      </c>
      <c r="ER13" t="e">
        <f t="shared" si="65"/>
        <v>#VALUE!</v>
      </c>
      <c r="ES13" t="e">
        <f t="shared" si="66"/>
        <v>#VALUE!</v>
      </c>
      <c r="ET13" t="e">
        <f t="shared" si="67"/>
        <v>#VALUE!</v>
      </c>
      <c r="EU13" s="11" t="str">
        <f t="shared" si="68"/>
        <v>-</v>
      </c>
      <c r="EX13">
        <f>'4.Ident.Princip.Consumos'!O14</f>
        <v>0</v>
      </c>
      <c r="EY13">
        <f>'4.Ident.Princip.Consumos'!P14</f>
        <v>0</v>
      </c>
      <c r="EZ13">
        <f>'4.Ident.Princip.Consumos'!Q14</f>
        <v>0</v>
      </c>
      <c r="FA13" t="e">
        <f>((((((EX13+EY13+EZ13)/3))*1.732*'4.Ident.Princip.Consumos'!I14*'4.Ident.Princip.Consumos'!$E$30)/1000)*'4.Ident.Princip.Consumos'!G14*4.34*12)*$AT$19</f>
        <v>#DIV/0!</v>
      </c>
      <c r="FB13" t="e">
        <f>(((EX13*'4.Ident.Princip.Consumos'!$E$30*'4.Ident.Princip.Consumos'!I14)/1000)*'4.Ident.Princip.Consumos'!G14*4.34*12)*$AT$19</f>
        <v>#DIV/0!</v>
      </c>
      <c r="FC13" t="e">
        <f t="shared" si="69"/>
        <v>#DIV/0!</v>
      </c>
      <c r="FD13" t="e">
        <f t="shared" si="70"/>
        <v>#DIV/0!</v>
      </c>
      <c r="FH13" s="73">
        <f t="shared" si="72"/>
        <v>1.1499999999999999</v>
      </c>
    </row>
    <row r="14" spans="1:164" ht="20" x14ac:dyDescent="0.3">
      <c r="A14" s="37" t="s">
        <v>204</v>
      </c>
      <c r="B14" s="1">
        <f>'7.- UpDate'!D22</f>
        <v>0</v>
      </c>
      <c r="C14" s="1">
        <f>'7.- UpDate'!E22</f>
        <v>0</v>
      </c>
      <c r="F14" s="40" t="s">
        <v>136</v>
      </c>
      <c r="G14" s="38">
        <f>'7.- UpDate'!H13</f>
        <v>0.30120000000000002</v>
      </c>
      <c r="V14" s="116" t="s">
        <v>205</v>
      </c>
      <c r="X14" s="140" t="s">
        <v>345</v>
      </c>
      <c r="Z14">
        <v>80</v>
      </c>
      <c r="AA14">
        <v>13</v>
      </c>
      <c r="AC14">
        <v>65</v>
      </c>
      <c r="AE14" s="52">
        <v>45505</v>
      </c>
      <c r="AG14" s="52">
        <f>'2.HistóricoConsumoEnergético'!A15</f>
        <v>45480</v>
      </c>
      <c r="AH14">
        <f>'2.HistóricoConsumoEnergético'!B15</f>
        <v>0</v>
      </c>
      <c r="AI14">
        <f>'2.HistóricoConsumoEnergético'!C15</f>
        <v>0</v>
      </c>
      <c r="AJ14">
        <f t="shared" si="0"/>
        <v>0</v>
      </c>
      <c r="AK14">
        <f>'2.HistóricoConsumoEnergético'!D15</f>
        <v>0</v>
      </c>
      <c r="AL14" t="e">
        <f t="shared" si="1"/>
        <v>#DIV/0!</v>
      </c>
      <c r="AO14" s="62">
        <f>'2.HistóricoConsumoEnergético'!A13</f>
        <v>45418</v>
      </c>
      <c r="AP14" s="1">
        <f>'2.HistóricoConsumoEnergético'!B13</f>
        <v>0</v>
      </c>
      <c r="AQ14" s="1">
        <f>'2.HistóricoConsumoEnergético'!C13</f>
        <v>0</v>
      </c>
      <c r="AR14" s="9">
        <f>'2.HistóricoConsumoEnergético'!D13</f>
        <v>0</v>
      </c>
      <c r="AS14">
        <f t="shared" si="8"/>
        <v>0</v>
      </c>
      <c r="AT14" s="9" t="str">
        <f t="shared" si="3"/>
        <v>-</v>
      </c>
      <c r="AU14" s="52">
        <f>'2.HistóricoConsumoEnergético'!G13</f>
        <v>45418</v>
      </c>
      <c r="AV14" s="52" t="str">
        <f>'2.HistóricoConsumoEnergético'!H13</f>
        <v>Balón de 10kg</v>
      </c>
      <c r="AW14">
        <f>'2.HistóricoConsumoEnergético'!I13</f>
        <v>0</v>
      </c>
      <c r="AX14">
        <f>'2.HistóricoConsumoEnergético'!J13</f>
        <v>0</v>
      </c>
      <c r="AY14" s="4">
        <f>'2.HistóricoConsumoEnergético'!K13</f>
        <v>0</v>
      </c>
      <c r="AZ14" s="66">
        <f t="shared" si="9"/>
        <v>0</v>
      </c>
      <c r="BC14" s="52">
        <f>'2.HistóricoConsumoEnergético'!M13</f>
        <v>45418</v>
      </c>
      <c r="BD14" s="52" t="str">
        <f>'2.HistóricoConsumoEnergético'!N13</f>
        <v>m3</v>
      </c>
      <c r="BE14">
        <f>'2.HistóricoConsumoEnergético'!O13</f>
        <v>0</v>
      </c>
      <c r="BF14" s="4">
        <f>'2.HistóricoConsumoEnergético'!P13</f>
        <v>0</v>
      </c>
      <c r="BG14" s="66">
        <f t="shared" si="10"/>
        <v>0</v>
      </c>
      <c r="BH14" s="52">
        <f>'2.HistóricoConsumoEnergético'!R13</f>
        <v>45418</v>
      </c>
      <c r="BI14" t="str">
        <f>'2.HistóricoConsumoEnergético'!S13</f>
        <v>gal</v>
      </c>
      <c r="BJ14">
        <f>'2.HistóricoConsumoEnergético'!T13</f>
        <v>0</v>
      </c>
      <c r="BK14" s="4">
        <f>'2.HistóricoConsumoEnergético'!U13</f>
        <v>0</v>
      </c>
      <c r="BL14" s="65">
        <f t="shared" si="11"/>
        <v>0</v>
      </c>
      <c r="BM14" s="52">
        <f>'2.HistóricoConsumoEnergético'!W13</f>
        <v>0</v>
      </c>
      <c r="BN14">
        <f>'2.HistóricoConsumoEnergético'!X13</f>
        <v>0</v>
      </c>
      <c r="BO14">
        <f>'2.HistóricoConsumoEnergético'!Y13</f>
        <v>0</v>
      </c>
      <c r="BQ14">
        <f>'1.GeneralesEmpresa'!H21</f>
        <v>0</v>
      </c>
      <c r="BR14" s="52">
        <f t="shared" si="12"/>
        <v>45418</v>
      </c>
      <c r="BS14">
        <v>0</v>
      </c>
      <c r="BT14" s="65">
        <f t="shared" si="13"/>
        <v>0</v>
      </c>
      <c r="BU14" s="4">
        <f t="shared" si="14"/>
        <v>0</v>
      </c>
      <c r="BV14" s="52">
        <f t="shared" si="15"/>
        <v>45418</v>
      </c>
      <c r="BX14" s="52">
        <f t="shared" si="16"/>
        <v>45418</v>
      </c>
      <c r="BY14" s="1">
        <f t="shared" si="17"/>
        <v>0</v>
      </c>
      <c r="BZ14" s="9">
        <f t="shared" si="18"/>
        <v>0</v>
      </c>
      <c r="CA14" s="67" t="str">
        <f t="shared" si="19"/>
        <v>0</v>
      </c>
      <c r="CB14" s="1">
        <f t="shared" si="20"/>
        <v>0</v>
      </c>
      <c r="CC14" s="9">
        <f t="shared" si="21"/>
        <v>0</v>
      </c>
      <c r="CD14" s="67" t="str">
        <f t="shared" si="22"/>
        <v>0</v>
      </c>
      <c r="CE14" s="68">
        <f t="shared" si="23"/>
        <v>0</v>
      </c>
      <c r="CF14" s="9">
        <f t="shared" si="24"/>
        <v>0</v>
      </c>
      <c r="CG14" s="9" t="str">
        <f t="shared" si="25"/>
        <v>0</v>
      </c>
      <c r="CH14" s="68">
        <f t="shared" si="26"/>
        <v>0</v>
      </c>
      <c r="CI14" s="9">
        <f t="shared" si="27"/>
        <v>0</v>
      </c>
      <c r="CJ14" s="1" t="str">
        <f t="shared" si="28"/>
        <v>0</v>
      </c>
      <c r="CK14" s="68">
        <f t="shared" si="29"/>
        <v>0</v>
      </c>
      <c r="CL14" s="68">
        <f t="shared" si="30"/>
        <v>0</v>
      </c>
      <c r="CM14" s="68" t="e">
        <f t="shared" si="31"/>
        <v>#DIV/0!</v>
      </c>
      <c r="CN14" s="67">
        <f t="shared" si="32"/>
        <v>0</v>
      </c>
      <c r="CO14" s="67">
        <f t="shared" si="33"/>
        <v>0</v>
      </c>
      <c r="CP14" s="1">
        <f>Hoja2!B9</f>
        <v>0</v>
      </c>
      <c r="CQ14" s="66" t="e">
        <f t="shared" si="34"/>
        <v>#DIV/0!</v>
      </c>
      <c r="CR14" s="66" t="str">
        <f>IFERROR(BY14/'1.GeneralesEmpresa'!G21,"-")</f>
        <v>-</v>
      </c>
      <c r="CS14" t="e">
        <f>CN14/'1.GeneralesEmpresa'!$G$10</f>
        <v>#DIV/0!</v>
      </c>
      <c r="CT14" s="80" t="str">
        <f>IFERROR(CN14/'1.GeneralesEmpresa'!G21,"-")</f>
        <v>-</v>
      </c>
      <c r="CU14" s="1">
        <f>'7.- UpDate'!$B$2*BY14</f>
        <v>0</v>
      </c>
      <c r="CV14" s="1">
        <f t="shared" si="35"/>
        <v>0</v>
      </c>
      <c r="CW14" s="68">
        <f t="shared" si="36"/>
        <v>0</v>
      </c>
      <c r="CX14" s="68">
        <f t="shared" si="37"/>
        <v>0</v>
      </c>
      <c r="CY14" s="68">
        <f t="shared" si="38"/>
        <v>0</v>
      </c>
      <c r="CZ14" s="66" t="str">
        <f>IFERROR(CY14/'1.GeneralesEmpresa'!G21,"-")</f>
        <v>-</v>
      </c>
      <c r="DB14" s="66">
        <f t="shared" si="39"/>
        <v>0</v>
      </c>
      <c r="DC14" t="str">
        <f>IF('4.Ident.Princip.Consumos'!M15="Monofásico","Monofásico","Trifásico")</f>
        <v>Monofásico</v>
      </c>
      <c r="DD14" s="84" t="str">
        <f>IF('4.Ident.Princip.Consumos'!J15="","-",'4.Ident.Princip.Consumos'!J15)</f>
        <v>-</v>
      </c>
      <c r="DE14" s="84" t="str">
        <f>IF('4.Ident.Princip.Consumos'!K15="","-",'4.Ident.Princip.Consumos'!K15)</f>
        <v>-</v>
      </c>
      <c r="DF14" s="84" t="str">
        <f>IF('4.Ident.Princip.Consumos'!L15="","-",'4.Ident.Princip.Consumos'!L15)</f>
        <v>-</v>
      </c>
      <c r="DG14" t="e">
        <f t="shared" si="40"/>
        <v>#DIV/0!</v>
      </c>
      <c r="DH14" t="str">
        <f t="shared" si="41"/>
        <v>Monofásico</v>
      </c>
      <c r="DI14" t="e">
        <f>('4.Ident.Princip.Consumos'!I15*Hoja1!DG14*'4.Ident.Princip.Consumos'!$E$30*1.732)/1000</f>
        <v>#DIV/0!</v>
      </c>
      <c r="DJ14" t="e">
        <f>('4.Ident.Princip.Consumos'!I15*Hoja1!DD14*'4.Ident.Princip.Consumos'!$E$30)/1000</f>
        <v>#VALUE!</v>
      </c>
      <c r="DK14" s="3" t="e">
        <f t="shared" si="42"/>
        <v>#VALUE!</v>
      </c>
      <c r="DL14" t="e">
        <f>(CS36*CU36)/'4.Ident.Princip.Consumos'!$E$31</f>
        <v>#VALUE!</v>
      </c>
      <c r="DM14" s="72" t="e">
        <f t="shared" si="43"/>
        <v>#VALUE!</v>
      </c>
      <c r="DN14" s="3" t="e">
        <f>DL14/('4.Ident.Princip.Consumos'!$E$30*'4.Ident.Princip.Consumos'!I15*1.732)*1000</f>
        <v>#VALUE!</v>
      </c>
      <c r="DO14" s="3" t="e">
        <f>DL14/('4.Ident.Princip.Consumos'!$E$30*'4.Ident.Princip.Consumos'!I15)*1000</f>
        <v>#VALUE!</v>
      </c>
      <c r="DP14" s="3" t="e">
        <f t="shared" si="44"/>
        <v>#VALUE!</v>
      </c>
      <c r="DQ14" t="e">
        <f>DN14*'4.Ident.Princip.Consumos'!I15*0.8*1.732/1000</f>
        <v>#VALUE!</v>
      </c>
      <c r="DR14" s="72" t="str">
        <f t="shared" si="4"/>
        <v>-</v>
      </c>
      <c r="DS14" s="72" t="str">
        <f t="shared" si="4"/>
        <v>-</v>
      </c>
      <c r="DT14" s="72" t="str">
        <f t="shared" si="4"/>
        <v>-</v>
      </c>
      <c r="DU14" s="72" t="str">
        <f t="shared" si="45"/>
        <v>-</v>
      </c>
      <c r="DV14" s="72" t="str">
        <f t="shared" si="46"/>
        <v>-</v>
      </c>
      <c r="DW14" s="72" t="str">
        <f t="shared" si="47"/>
        <v>-</v>
      </c>
      <c r="DX14" s="72" t="str">
        <f t="shared" si="48"/>
        <v>-</v>
      </c>
      <c r="DY14" t="str">
        <f t="shared" si="49"/>
        <v>-</v>
      </c>
      <c r="DZ14" t="str">
        <f t="shared" si="50"/>
        <v>-</v>
      </c>
      <c r="EA14" s="72" t="str">
        <f t="shared" si="51"/>
        <v>-</v>
      </c>
      <c r="EB14" s="73" t="str">
        <f t="shared" si="52"/>
        <v>-</v>
      </c>
      <c r="EC14" s="73" t="str">
        <f t="shared" si="53"/>
        <v>-</v>
      </c>
      <c r="ED14" s="73" t="str">
        <f t="shared" si="54"/>
        <v>-</v>
      </c>
      <c r="EE14" s="73" t="str">
        <f t="shared" si="71"/>
        <v>-</v>
      </c>
      <c r="EF14" s="72" t="str">
        <f t="shared" si="55"/>
        <v>-</v>
      </c>
      <c r="EG14" s="72" t="str">
        <f t="shared" si="56"/>
        <v>-</v>
      </c>
      <c r="EH14" s="72" t="str">
        <f t="shared" si="57"/>
        <v>-</v>
      </c>
      <c r="EI14" s="72" t="str">
        <f t="shared" si="58"/>
        <v>-</v>
      </c>
      <c r="EJ14" s="7" t="str">
        <f t="shared" si="59"/>
        <v>-</v>
      </c>
      <c r="EK14" s="87" t="str">
        <f t="shared" si="60"/>
        <v>-</v>
      </c>
      <c r="EL14" s="87" t="str">
        <f t="shared" si="61"/>
        <v>-</v>
      </c>
      <c r="EM14" s="87" t="str">
        <f t="shared" si="62"/>
        <v>-</v>
      </c>
      <c r="EN14" s="88" t="str">
        <f t="shared" si="63"/>
        <v>-</v>
      </c>
      <c r="EQ14" s="73" t="e">
        <f t="shared" si="64"/>
        <v>#VALUE!</v>
      </c>
      <c r="ER14" t="e">
        <f t="shared" si="65"/>
        <v>#VALUE!</v>
      </c>
      <c r="ES14" t="e">
        <f t="shared" si="66"/>
        <v>#VALUE!</v>
      </c>
      <c r="ET14" t="e">
        <f t="shared" si="67"/>
        <v>#VALUE!</v>
      </c>
      <c r="EU14" s="11" t="str">
        <f t="shared" si="68"/>
        <v>-</v>
      </c>
      <c r="EX14">
        <f>'4.Ident.Princip.Consumos'!O15</f>
        <v>0</v>
      </c>
      <c r="EY14">
        <f>'4.Ident.Princip.Consumos'!P15</f>
        <v>0</v>
      </c>
      <c r="EZ14">
        <f>'4.Ident.Princip.Consumos'!Q15</f>
        <v>0</v>
      </c>
      <c r="FA14" t="e">
        <f>((((((EX14+EY14+EZ14)/3))*1.732*'4.Ident.Princip.Consumos'!I15*'4.Ident.Princip.Consumos'!$E$30)/1000)*'4.Ident.Princip.Consumos'!G15*4.34*12)*$AT$19</f>
        <v>#DIV/0!</v>
      </c>
      <c r="FB14" t="e">
        <f>(((EX14*'4.Ident.Princip.Consumos'!$E$30*'4.Ident.Princip.Consumos'!I15)/1000)*'4.Ident.Princip.Consumos'!G15*4.34*12)*$AT$19</f>
        <v>#DIV/0!</v>
      </c>
      <c r="FC14" t="e">
        <f t="shared" si="69"/>
        <v>#DIV/0!</v>
      </c>
      <c r="FD14" t="e">
        <f t="shared" si="70"/>
        <v>#DIV/0!</v>
      </c>
      <c r="FH14" s="73">
        <f t="shared" si="72"/>
        <v>1.1499999999999999</v>
      </c>
    </row>
    <row r="15" spans="1:164" x14ac:dyDescent="0.3">
      <c r="A15" s="36" t="s">
        <v>206</v>
      </c>
      <c r="B15" s="1">
        <f>'7.- UpDate'!D23</f>
        <v>50.39</v>
      </c>
      <c r="C15" s="1">
        <f>'7.- UpDate'!E23</f>
        <v>58.71</v>
      </c>
      <c r="F15" s="39" t="s">
        <v>207</v>
      </c>
      <c r="G15" s="38">
        <f>'7.- UpDate'!H14</f>
        <v>78.66</v>
      </c>
      <c r="V15" s="116" t="s">
        <v>208</v>
      </c>
      <c r="X15" s="140" t="s">
        <v>346</v>
      </c>
      <c r="Z15">
        <v>85</v>
      </c>
      <c r="AA15">
        <v>14</v>
      </c>
      <c r="AC15">
        <v>70</v>
      </c>
      <c r="AE15" s="52">
        <v>45536</v>
      </c>
      <c r="AG15" s="52">
        <f>'2.HistóricoConsumoEnergético'!A16</f>
        <v>45511</v>
      </c>
      <c r="AH15">
        <f>'2.HistóricoConsumoEnergético'!B16</f>
        <v>0</v>
      </c>
      <c r="AI15">
        <f>'2.HistóricoConsumoEnergético'!C16</f>
        <v>0</v>
      </c>
      <c r="AJ15">
        <f t="shared" si="0"/>
        <v>0</v>
      </c>
      <c r="AK15">
        <f>'2.HistóricoConsumoEnergético'!D16</f>
        <v>0</v>
      </c>
      <c r="AL15" t="e">
        <f t="shared" si="1"/>
        <v>#DIV/0!</v>
      </c>
      <c r="AO15" s="62">
        <f>'2.HistóricoConsumoEnergético'!A14</f>
        <v>45449</v>
      </c>
      <c r="AP15" s="1">
        <f>'2.HistóricoConsumoEnergético'!B14</f>
        <v>0</v>
      </c>
      <c r="AQ15" s="1">
        <f>'2.HistóricoConsumoEnergético'!C14</f>
        <v>0</v>
      </c>
      <c r="AR15" s="9">
        <f>'2.HistóricoConsumoEnergético'!D14</f>
        <v>0</v>
      </c>
      <c r="AS15">
        <f t="shared" si="8"/>
        <v>0</v>
      </c>
      <c r="AT15" s="9" t="str">
        <f t="shared" si="3"/>
        <v>-</v>
      </c>
      <c r="AU15" s="52">
        <f>'2.HistóricoConsumoEnergético'!G14</f>
        <v>45449</v>
      </c>
      <c r="AV15" s="52" t="str">
        <f>'2.HistóricoConsumoEnergético'!H14</f>
        <v>Balón de 10kg</v>
      </c>
      <c r="AW15">
        <f>'2.HistóricoConsumoEnergético'!I14</f>
        <v>0</v>
      </c>
      <c r="AX15">
        <f>'2.HistóricoConsumoEnergético'!J14</f>
        <v>0</v>
      </c>
      <c r="AY15" s="4">
        <f>'2.HistóricoConsumoEnergético'!K14</f>
        <v>0</v>
      </c>
      <c r="AZ15" s="66">
        <f t="shared" si="9"/>
        <v>0</v>
      </c>
      <c r="BC15" s="52">
        <f>'2.HistóricoConsumoEnergético'!M14</f>
        <v>45449</v>
      </c>
      <c r="BD15" s="52" t="str">
        <f>'2.HistóricoConsumoEnergético'!N14</f>
        <v>m3</v>
      </c>
      <c r="BE15">
        <f>'2.HistóricoConsumoEnergético'!O14</f>
        <v>0</v>
      </c>
      <c r="BF15" s="4">
        <f>'2.HistóricoConsumoEnergético'!P14</f>
        <v>0</v>
      </c>
      <c r="BG15" s="66">
        <f t="shared" si="10"/>
        <v>0</v>
      </c>
      <c r="BH15" s="52">
        <f>'2.HistóricoConsumoEnergético'!R14</f>
        <v>45449</v>
      </c>
      <c r="BI15" t="str">
        <f>'2.HistóricoConsumoEnergético'!S14</f>
        <v>gal</v>
      </c>
      <c r="BJ15">
        <f>'2.HistóricoConsumoEnergético'!T14</f>
        <v>0</v>
      </c>
      <c r="BK15" s="4">
        <f>'2.HistóricoConsumoEnergético'!U14</f>
        <v>0</v>
      </c>
      <c r="BL15" s="65">
        <f t="shared" si="11"/>
        <v>0</v>
      </c>
      <c r="BM15" s="52">
        <f>'2.HistóricoConsumoEnergético'!W14</f>
        <v>0</v>
      </c>
      <c r="BN15">
        <f>'2.HistóricoConsumoEnergético'!X14</f>
        <v>0</v>
      </c>
      <c r="BO15">
        <f>'2.HistóricoConsumoEnergético'!Y14</f>
        <v>0</v>
      </c>
      <c r="BQ15">
        <f>'1.GeneralesEmpresa'!H22</f>
        <v>0</v>
      </c>
      <c r="BR15" s="52">
        <f t="shared" si="12"/>
        <v>45449</v>
      </c>
      <c r="BS15">
        <v>0</v>
      </c>
      <c r="BT15" s="65">
        <f t="shared" si="13"/>
        <v>0</v>
      </c>
      <c r="BU15" s="4">
        <f t="shared" si="14"/>
        <v>0</v>
      </c>
      <c r="BV15" s="52">
        <f t="shared" si="15"/>
        <v>45449</v>
      </c>
      <c r="BX15" s="52">
        <f t="shared" si="16"/>
        <v>45449</v>
      </c>
      <c r="BY15" s="1">
        <f t="shared" si="17"/>
        <v>0</v>
      </c>
      <c r="BZ15" s="9">
        <f t="shared" si="18"/>
        <v>0</v>
      </c>
      <c r="CA15" s="67" t="str">
        <f t="shared" si="19"/>
        <v>0</v>
      </c>
      <c r="CB15" s="1">
        <f t="shared" si="20"/>
        <v>0</v>
      </c>
      <c r="CC15" s="9">
        <f t="shared" si="21"/>
        <v>0</v>
      </c>
      <c r="CD15" s="67" t="str">
        <f t="shared" si="22"/>
        <v>0</v>
      </c>
      <c r="CE15" s="68">
        <f t="shared" si="23"/>
        <v>0</v>
      </c>
      <c r="CF15" s="9">
        <f t="shared" si="24"/>
        <v>0</v>
      </c>
      <c r="CG15" s="9" t="str">
        <f t="shared" si="25"/>
        <v>0</v>
      </c>
      <c r="CH15" s="68">
        <f t="shared" si="26"/>
        <v>0</v>
      </c>
      <c r="CI15" s="9">
        <f t="shared" si="27"/>
        <v>0</v>
      </c>
      <c r="CJ15" s="1" t="str">
        <f t="shared" si="28"/>
        <v>0</v>
      </c>
      <c r="CK15" s="68">
        <f t="shared" si="29"/>
        <v>0</v>
      </c>
      <c r="CL15" s="68">
        <f t="shared" si="30"/>
        <v>0</v>
      </c>
      <c r="CM15" s="68" t="e">
        <f t="shared" si="31"/>
        <v>#DIV/0!</v>
      </c>
      <c r="CN15" s="67">
        <f t="shared" si="32"/>
        <v>0</v>
      </c>
      <c r="CO15" s="67">
        <f t="shared" si="33"/>
        <v>0</v>
      </c>
      <c r="CP15" s="1">
        <f>Hoja2!B10</f>
        <v>0</v>
      </c>
      <c r="CQ15" s="66" t="e">
        <f t="shared" si="34"/>
        <v>#DIV/0!</v>
      </c>
      <c r="CR15" s="66" t="str">
        <f>IFERROR(BY15/'1.GeneralesEmpresa'!G22,"-")</f>
        <v>-</v>
      </c>
      <c r="CS15" t="e">
        <f>CN15/'1.GeneralesEmpresa'!$G$10</f>
        <v>#DIV/0!</v>
      </c>
      <c r="CT15" s="80" t="str">
        <f>IFERROR(CN15/'1.GeneralesEmpresa'!G22,"-")</f>
        <v>-</v>
      </c>
      <c r="CU15" s="1">
        <f>'7.- UpDate'!$B$2*BY15</f>
        <v>0</v>
      </c>
      <c r="CV15" s="1">
        <f t="shared" si="35"/>
        <v>0</v>
      </c>
      <c r="CW15" s="68">
        <f t="shared" si="36"/>
        <v>0</v>
      </c>
      <c r="CX15" s="68">
        <f t="shared" si="37"/>
        <v>0</v>
      </c>
      <c r="CY15" s="68">
        <f t="shared" si="38"/>
        <v>0</v>
      </c>
      <c r="CZ15" s="66" t="str">
        <f>IFERROR(CY15/'1.GeneralesEmpresa'!G22,"-")</f>
        <v>-</v>
      </c>
      <c r="DB15" s="66">
        <f t="shared" si="39"/>
        <v>0</v>
      </c>
      <c r="DC15" t="str">
        <f>IF('4.Ident.Princip.Consumos'!M16="Monofásico","Monofásico","Trifásico")</f>
        <v>Monofásico</v>
      </c>
      <c r="DD15" s="84" t="str">
        <f>IF('4.Ident.Princip.Consumos'!J16="","-",'4.Ident.Princip.Consumos'!J16)</f>
        <v>-</v>
      </c>
      <c r="DE15" s="84" t="str">
        <f>IF('4.Ident.Princip.Consumos'!K16="","-",'4.Ident.Princip.Consumos'!K16)</f>
        <v>-</v>
      </c>
      <c r="DF15" s="84" t="str">
        <f>IF('4.Ident.Princip.Consumos'!L16="","-",'4.Ident.Princip.Consumos'!L16)</f>
        <v>-</v>
      </c>
      <c r="DG15" t="e">
        <f t="shared" si="40"/>
        <v>#DIV/0!</v>
      </c>
      <c r="DH15" t="str">
        <f t="shared" si="41"/>
        <v>Monofásico</v>
      </c>
      <c r="DI15" t="e">
        <f>('4.Ident.Princip.Consumos'!I16*Hoja1!DG15*'4.Ident.Princip.Consumos'!$E$30*1.732)/1000</f>
        <v>#DIV/0!</v>
      </c>
      <c r="DJ15" t="e">
        <f>('4.Ident.Princip.Consumos'!I16*Hoja1!DD15*'4.Ident.Princip.Consumos'!$E$30)/1000</f>
        <v>#VALUE!</v>
      </c>
      <c r="DK15" s="3" t="e">
        <f t="shared" si="42"/>
        <v>#VALUE!</v>
      </c>
      <c r="DL15" t="e">
        <f>(CS37*CU37)/'4.Ident.Princip.Consumos'!$E$31</f>
        <v>#VALUE!</v>
      </c>
      <c r="DM15" s="72" t="e">
        <f t="shared" si="43"/>
        <v>#VALUE!</v>
      </c>
      <c r="DN15" s="3" t="e">
        <f>DL15/('4.Ident.Princip.Consumos'!$E$30*'4.Ident.Princip.Consumos'!I16*1.732)*1000</f>
        <v>#VALUE!</v>
      </c>
      <c r="DO15" s="3" t="e">
        <f>DL15/('4.Ident.Princip.Consumos'!$E$30*'4.Ident.Princip.Consumos'!I16)*1000</f>
        <v>#VALUE!</v>
      </c>
      <c r="DP15" s="3" t="e">
        <f t="shared" si="44"/>
        <v>#VALUE!</v>
      </c>
      <c r="DQ15" t="e">
        <f>DN15*'4.Ident.Princip.Consumos'!I16*0.8*1.732/1000</f>
        <v>#VALUE!</v>
      </c>
      <c r="DR15" s="72" t="str">
        <f t="shared" si="4"/>
        <v>-</v>
      </c>
      <c r="DS15" s="72" t="str">
        <f t="shared" si="4"/>
        <v>-</v>
      </c>
      <c r="DT15" s="72" t="str">
        <f t="shared" si="4"/>
        <v>-</v>
      </c>
      <c r="DU15" s="72" t="str">
        <f t="shared" si="45"/>
        <v>-</v>
      </c>
      <c r="DV15" s="72" t="str">
        <f t="shared" si="46"/>
        <v>-</v>
      </c>
      <c r="DW15" s="72" t="str">
        <f t="shared" si="47"/>
        <v>-</v>
      </c>
      <c r="DX15" s="72" t="str">
        <f t="shared" si="48"/>
        <v>-</v>
      </c>
      <c r="DY15" t="str">
        <f t="shared" si="49"/>
        <v>-</v>
      </c>
      <c r="DZ15" t="str">
        <f t="shared" si="50"/>
        <v>-</v>
      </c>
      <c r="EA15" s="72" t="str">
        <f t="shared" si="51"/>
        <v>-</v>
      </c>
      <c r="EB15" s="73" t="str">
        <f t="shared" si="52"/>
        <v>-</v>
      </c>
      <c r="EC15" s="73" t="str">
        <f t="shared" si="53"/>
        <v>-</v>
      </c>
      <c r="ED15" s="73" t="str">
        <f t="shared" si="54"/>
        <v>-</v>
      </c>
      <c r="EE15" s="73" t="str">
        <f t="shared" si="71"/>
        <v>-</v>
      </c>
      <c r="EF15" s="72" t="str">
        <f t="shared" si="55"/>
        <v>-</v>
      </c>
      <c r="EG15" s="72" t="str">
        <f t="shared" si="56"/>
        <v>-</v>
      </c>
      <c r="EH15" s="72" t="str">
        <f t="shared" si="57"/>
        <v>-</v>
      </c>
      <c r="EI15" s="72" t="str">
        <f t="shared" si="58"/>
        <v>-</v>
      </c>
      <c r="EJ15" s="7" t="str">
        <f t="shared" si="59"/>
        <v>-</v>
      </c>
      <c r="EK15" s="87" t="str">
        <f t="shared" si="60"/>
        <v>-</v>
      </c>
      <c r="EL15" s="87" t="str">
        <f t="shared" si="61"/>
        <v>-</v>
      </c>
      <c r="EM15" s="87" t="str">
        <f t="shared" si="62"/>
        <v>-</v>
      </c>
      <c r="EN15" s="88" t="str">
        <f t="shared" si="63"/>
        <v>-</v>
      </c>
      <c r="EQ15" s="73" t="e">
        <f t="shared" si="64"/>
        <v>#VALUE!</v>
      </c>
      <c r="ER15" t="e">
        <f t="shared" si="65"/>
        <v>#VALUE!</v>
      </c>
      <c r="ES15" t="e">
        <f t="shared" si="66"/>
        <v>#VALUE!</v>
      </c>
      <c r="ET15" t="e">
        <f t="shared" si="67"/>
        <v>#VALUE!</v>
      </c>
      <c r="EU15" s="11" t="str">
        <f t="shared" si="68"/>
        <v>-</v>
      </c>
      <c r="EX15">
        <f>'4.Ident.Princip.Consumos'!O16</f>
        <v>0</v>
      </c>
      <c r="EY15">
        <f>'4.Ident.Princip.Consumos'!P16</f>
        <v>0</v>
      </c>
      <c r="EZ15">
        <f>'4.Ident.Princip.Consumos'!Q16</f>
        <v>0</v>
      </c>
      <c r="FA15" t="e">
        <f>((((((EX15+EY15+EZ15)/3))*1.732*'4.Ident.Princip.Consumos'!I16*'4.Ident.Princip.Consumos'!$E$30)/1000)*'4.Ident.Princip.Consumos'!G16*4.34*12)*$AT$19</f>
        <v>#DIV/0!</v>
      </c>
      <c r="FB15" t="e">
        <f>(((EX15*'4.Ident.Princip.Consumos'!$E$30*'4.Ident.Princip.Consumos'!I16)/1000)*'4.Ident.Princip.Consumos'!G16*4.34*12)*$AT$19</f>
        <v>#DIV/0!</v>
      </c>
      <c r="FC15" t="e">
        <f t="shared" si="69"/>
        <v>#DIV/0!</v>
      </c>
      <c r="FD15" t="e">
        <f t="shared" si="70"/>
        <v>#DIV/0!</v>
      </c>
      <c r="FH15" s="73">
        <f t="shared" si="72"/>
        <v>1.1499999999999999</v>
      </c>
    </row>
    <row r="16" spans="1:164" x14ac:dyDescent="0.3">
      <c r="A16" s="37" t="s">
        <v>209</v>
      </c>
      <c r="B16" s="1">
        <f>'7.- UpDate'!D24</f>
        <v>46.23</v>
      </c>
      <c r="C16" s="1">
        <f>'7.- UpDate'!E24</f>
        <v>36.83</v>
      </c>
      <c r="F16" s="1" t="s">
        <v>210</v>
      </c>
      <c r="G16" s="38">
        <f>'7.- UpDate'!H15</f>
        <v>0</v>
      </c>
      <c r="V16" s="116" t="s">
        <v>211</v>
      </c>
      <c r="X16" s="140" t="s">
        <v>347</v>
      </c>
      <c r="Z16">
        <v>90</v>
      </c>
      <c r="AA16">
        <v>15</v>
      </c>
      <c r="AC16">
        <v>75</v>
      </c>
      <c r="AE16" s="52">
        <v>45566</v>
      </c>
      <c r="AO16" s="62">
        <f>'2.HistóricoConsumoEnergético'!A15</f>
        <v>45480</v>
      </c>
      <c r="AP16" s="1">
        <f>'2.HistóricoConsumoEnergético'!B15</f>
        <v>0</v>
      </c>
      <c r="AQ16" s="1">
        <f>'2.HistóricoConsumoEnergético'!C15</f>
        <v>0</v>
      </c>
      <c r="AR16" s="9">
        <f>'2.HistóricoConsumoEnergético'!D15</f>
        <v>0</v>
      </c>
      <c r="AS16">
        <f t="shared" si="8"/>
        <v>0</v>
      </c>
      <c r="AT16" s="9" t="str">
        <f t="shared" si="3"/>
        <v>-</v>
      </c>
      <c r="AU16" s="52">
        <f>'2.HistóricoConsumoEnergético'!G15</f>
        <v>45480</v>
      </c>
      <c r="AV16" s="52" t="str">
        <f>'2.HistóricoConsumoEnergético'!H15</f>
        <v>Balón de 10kg</v>
      </c>
      <c r="AW16">
        <f>'2.HistóricoConsumoEnergético'!I15</f>
        <v>0</v>
      </c>
      <c r="AX16">
        <f>'2.HistóricoConsumoEnergético'!J15</f>
        <v>0</v>
      </c>
      <c r="AY16" s="4">
        <f>'2.HistóricoConsumoEnergético'!K15</f>
        <v>0</v>
      </c>
      <c r="AZ16" s="66">
        <f t="shared" si="9"/>
        <v>0</v>
      </c>
      <c r="BC16" s="52">
        <f>'2.HistóricoConsumoEnergético'!M15</f>
        <v>45480</v>
      </c>
      <c r="BD16" s="52" t="str">
        <f>'2.HistóricoConsumoEnergético'!N15</f>
        <v>m3</v>
      </c>
      <c r="BE16">
        <f>'2.HistóricoConsumoEnergético'!O15</f>
        <v>0</v>
      </c>
      <c r="BF16" s="4">
        <f>'2.HistóricoConsumoEnergético'!P15</f>
        <v>0</v>
      </c>
      <c r="BG16" s="66">
        <f>BE16*$AV$23</f>
        <v>0</v>
      </c>
      <c r="BH16" s="52">
        <f>'2.HistóricoConsumoEnergético'!R15</f>
        <v>45480</v>
      </c>
      <c r="BI16" t="str">
        <f>'2.HistóricoConsumoEnergético'!S15</f>
        <v>gal</v>
      </c>
      <c r="BJ16">
        <f>'2.HistóricoConsumoEnergético'!T15</f>
        <v>0</v>
      </c>
      <c r="BK16" s="4">
        <f>'2.HistóricoConsumoEnergético'!U15</f>
        <v>0</v>
      </c>
      <c r="BL16" s="65">
        <f t="shared" si="11"/>
        <v>0</v>
      </c>
      <c r="BM16" s="52">
        <f>'2.HistóricoConsumoEnergético'!W15</f>
        <v>0</v>
      </c>
      <c r="BN16">
        <f>'2.HistóricoConsumoEnergético'!X15</f>
        <v>0</v>
      </c>
      <c r="BO16">
        <f>'2.HistóricoConsumoEnergético'!Y15</f>
        <v>0</v>
      </c>
      <c r="BQ16">
        <f>'1.GeneralesEmpresa'!H23</f>
        <v>0</v>
      </c>
      <c r="BR16" s="52">
        <f t="shared" si="12"/>
        <v>45480</v>
      </c>
      <c r="BS16">
        <v>0</v>
      </c>
      <c r="BT16" s="65">
        <f t="shared" si="13"/>
        <v>0</v>
      </c>
      <c r="BU16" s="4">
        <f t="shared" si="14"/>
        <v>0</v>
      </c>
      <c r="BV16" s="52">
        <f t="shared" si="15"/>
        <v>45480</v>
      </c>
      <c r="BX16" s="52">
        <f t="shared" si="16"/>
        <v>45480</v>
      </c>
      <c r="BY16" s="1">
        <f t="shared" si="17"/>
        <v>0</v>
      </c>
      <c r="BZ16" s="9">
        <f t="shared" si="18"/>
        <v>0</v>
      </c>
      <c r="CA16" s="67" t="str">
        <f t="shared" si="19"/>
        <v>0</v>
      </c>
      <c r="CB16" s="1">
        <f t="shared" si="20"/>
        <v>0</v>
      </c>
      <c r="CC16" s="9">
        <f t="shared" si="21"/>
        <v>0</v>
      </c>
      <c r="CD16" s="67" t="str">
        <f t="shared" si="22"/>
        <v>0</v>
      </c>
      <c r="CE16" s="68">
        <f t="shared" si="23"/>
        <v>0</v>
      </c>
      <c r="CF16" s="9">
        <f t="shared" si="24"/>
        <v>0</v>
      </c>
      <c r="CG16" s="9" t="str">
        <f t="shared" si="25"/>
        <v>0</v>
      </c>
      <c r="CH16" s="68">
        <f t="shared" si="26"/>
        <v>0</v>
      </c>
      <c r="CI16" s="9">
        <f t="shared" si="27"/>
        <v>0</v>
      </c>
      <c r="CJ16" s="1" t="str">
        <f t="shared" si="28"/>
        <v>0</v>
      </c>
      <c r="CK16" s="68">
        <f t="shared" si="29"/>
        <v>0</v>
      </c>
      <c r="CL16" s="68">
        <f t="shared" si="30"/>
        <v>0</v>
      </c>
      <c r="CM16" s="68" t="e">
        <f t="shared" si="31"/>
        <v>#DIV/0!</v>
      </c>
      <c r="CN16" s="67">
        <f t="shared" si="32"/>
        <v>0</v>
      </c>
      <c r="CO16" s="67">
        <f t="shared" si="33"/>
        <v>0</v>
      </c>
      <c r="CP16" s="1">
        <f>Hoja2!B11</f>
        <v>0</v>
      </c>
      <c r="CQ16" s="66" t="e">
        <f t="shared" si="34"/>
        <v>#DIV/0!</v>
      </c>
      <c r="CR16" s="66" t="str">
        <f>IFERROR(BY16/'1.GeneralesEmpresa'!G23,"-")</f>
        <v>-</v>
      </c>
      <c r="CS16" t="e">
        <f>CN16/'1.GeneralesEmpresa'!$G$10</f>
        <v>#DIV/0!</v>
      </c>
      <c r="CT16" s="80" t="str">
        <f>IFERROR(CN16/'1.GeneralesEmpresa'!G23,"-")</f>
        <v>-</v>
      </c>
      <c r="CU16" s="1">
        <f>'7.- UpDate'!$B$2*BY16</f>
        <v>0</v>
      </c>
      <c r="CV16" s="1">
        <f t="shared" si="35"/>
        <v>0</v>
      </c>
      <c r="CW16" s="68">
        <f t="shared" si="36"/>
        <v>0</v>
      </c>
      <c r="CX16" s="68">
        <f t="shared" si="37"/>
        <v>0</v>
      </c>
      <c r="CY16" s="68">
        <f t="shared" si="38"/>
        <v>0</v>
      </c>
      <c r="CZ16" s="66" t="str">
        <f>IFERROR(CY16/'1.GeneralesEmpresa'!G23,"-")</f>
        <v>-</v>
      </c>
      <c r="DB16" s="66">
        <f t="shared" si="39"/>
        <v>0</v>
      </c>
      <c r="DC16" t="str">
        <f>IF('4.Ident.Princip.Consumos'!M17="Monofásico","Monofásico","Trifásico")</f>
        <v>Monofásico</v>
      </c>
      <c r="DD16" s="84" t="str">
        <f>IF('4.Ident.Princip.Consumos'!J17="","-",'4.Ident.Princip.Consumos'!J17)</f>
        <v>-</v>
      </c>
      <c r="DE16" s="84" t="str">
        <f>IF('4.Ident.Princip.Consumos'!K17="","-",'4.Ident.Princip.Consumos'!K17)</f>
        <v>-</v>
      </c>
      <c r="DF16" s="84" t="str">
        <f>IF('4.Ident.Princip.Consumos'!L17="","-",'4.Ident.Princip.Consumos'!L17)</f>
        <v>-</v>
      </c>
      <c r="DG16" t="e">
        <f t="shared" si="40"/>
        <v>#DIV/0!</v>
      </c>
      <c r="DH16" t="str">
        <f t="shared" si="41"/>
        <v>Monofásico</v>
      </c>
      <c r="DI16" t="e">
        <f>('4.Ident.Princip.Consumos'!I17*Hoja1!DG16*'4.Ident.Princip.Consumos'!$E$30*1.732)/1000</f>
        <v>#DIV/0!</v>
      </c>
      <c r="DJ16" t="e">
        <f>('4.Ident.Princip.Consumos'!I17*Hoja1!DD16*'4.Ident.Princip.Consumos'!$E$30)/1000</f>
        <v>#VALUE!</v>
      </c>
      <c r="DK16" s="3" t="e">
        <f t="shared" si="42"/>
        <v>#VALUE!</v>
      </c>
      <c r="DL16" t="e">
        <f>(CS38*CU38)/'4.Ident.Princip.Consumos'!$E$31</f>
        <v>#VALUE!</v>
      </c>
      <c r="DM16" s="72" t="e">
        <f t="shared" si="43"/>
        <v>#VALUE!</v>
      </c>
      <c r="DN16" s="3" t="e">
        <f>DL16/('4.Ident.Princip.Consumos'!$E$30*'4.Ident.Princip.Consumos'!I17*1.732)*1000</f>
        <v>#VALUE!</v>
      </c>
      <c r="DO16" s="3" t="e">
        <f>DL16/('4.Ident.Princip.Consumos'!$E$30*'4.Ident.Princip.Consumos'!I17)*1000</f>
        <v>#VALUE!</v>
      </c>
      <c r="DP16" s="3" t="e">
        <f t="shared" si="44"/>
        <v>#VALUE!</v>
      </c>
      <c r="DQ16" t="e">
        <f>DN16*'4.Ident.Princip.Consumos'!I17*0.8*1.732/1000</f>
        <v>#VALUE!</v>
      </c>
      <c r="DR16" s="72" t="str">
        <f t="shared" si="4"/>
        <v>-</v>
      </c>
      <c r="DS16" s="72" t="str">
        <f t="shared" si="4"/>
        <v>-</v>
      </c>
      <c r="DT16" s="72" t="str">
        <f t="shared" si="4"/>
        <v>-</v>
      </c>
      <c r="DU16" s="72" t="str">
        <f t="shared" si="45"/>
        <v>-</v>
      </c>
      <c r="DV16" s="72" t="str">
        <f t="shared" si="46"/>
        <v>-</v>
      </c>
      <c r="DW16" s="72" t="str">
        <f t="shared" si="47"/>
        <v>-</v>
      </c>
      <c r="DX16" s="72" t="str">
        <f t="shared" si="48"/>
        <v>-</v>
      </c>
      <c r="DY16" t="str">
        <f t="shared" si="49"/>
        <v>-</v>
      </c>
      <c r="DZ16" t="str">
        <f t="shared" si="50"/>
        <v>-</v>
      </c>
      <c r="EA16" s="72" t="str">
        <f t="shared" si="51"/>
        <v>-</v>
      </c>
      <c r="EB16" s="73" t="str">
        <f t="shared" si="52"/>
        <v>-</v>
      </c>
      <c r="EC16" s="73" t="str">
        <f t="shared" si="53"/>
        <v>-</v>
      </c>
      <c r="ED16" s="73" t="str">
        <f t="shared" si="54"/>
        <v>-</v>
      </c>
      <c r="EE16" s="73" t="str">
        <f t="shared" si="71"/>
        <v>-</v>
      </c>
      <c r="EF16" s="72" t="str">
        <f t="shared" si="55"/>
        <v>-</v>
      </c>
      <c r="EG16" s="72" t="str">
        <f t="shared" si="56"/>
        <v>-</v>
      </c>
      <c r="EH16" s="72" t="str">
        <f t="shared" si="57"/>
        <v>-</v>
      </c>
      <c r="EI16" s="72" t="str">
        <f t="shared" si="58"/>
        <v>-</v>
      </c>
      <c r="EJ16" s="7" t="str">
        <f t="shared" si="59"/>
        <v>-</v>
      </c>
      <c r="EK16" s="87" t="str">
        <f t="shared" si="60"/>
        <v>-</v>
      </c>
      <c r="EL16" s="87" t="str">
        <f t="shared" si="61"/>
        <v>-</v>
      </c>
      <c r="EM16" s="87" t="str">
        <f t="shared" si="62"/>
        <v>-</v>
      </c>
      <c r="EN16" s="88" t="str">
        <f t="shared" si="63"/>
        <v>-</v>
      </c>
      <c r="EQ16" s="73" t="e">
        <f t="shared" si="64"/>
        <v>#VALUE!</v>
      </c>
      <c r="ER16" t="e">
        <f t="shared" si="65"/>
        <v>#VALUE!</v>
      </c>
      <c r="ES16" t="e">
        <f t="shared" si="66"/>
        <v>#VALUE!</v>
      </c>
      <c r="ET16" t="e">
        <f t="shared" si="67"/>
        <v>#VALUE!</v>
      </c>
      <c r="EU16" s="11" t="str">
        <f t="shared" si="68"/>
        <v>-</v>
      </c>
      <c r="EX16">
        <f>'4.Ident.Princip.Consumos'!O17</f>
        <v>0</v>
      </c>
      <c r="EY16">
        <f>'4.Ident.Princip.Consumos'!P17</f>
        <v>0</v>
      </c>
      <c r="EZ16">
        <f>'4.Ident.Princip.Consumos'!Q17</f>
        <v>0</v>
      </c>
      <c r="FA16" t="e">
        <f>((((((EX16+EY16+EZ16)/3))*1.732*'4.Ident.Princip.Consumos'!I17*'4.Ident.Princip.Consumos'!$E$30)/1000)*'4.Ident.Princip.Consumos'!G17*4.34*12)*$AT$19</f>
        <v>#DIV/0!</v>
      </c>
      <c r="FB16" t="e">
        <f>(((EX16*'4.Ident.Princip.Consumos'!$E$30*'4.Ident.Princip.Consumos'!I17)/1000)*'4.Ident.Princip.Consumos'!G17*4.34*12)*$AT$19</f>
        <v>#DIV/0!</v>
      </c>
      <c r="FC16" t="e">
        <f t="shared" si="69"/>
        <v>#DIV/0!</v>
      </c>
      <c r="FD16" t="e">
        <f t="shared" si="70"/>
        <v>#DIV/0!</v>
      </c>
      <c r="FH16" s="73">
        <f t="shared" si="72"/>
        <v>1.1499999999999999</v>
      </c>
    </row>
    <row r="17" spans="1:164" ht="20" x14ac:dyDescent="0.3">
      <c r="A17" s="36" t="s">
        <v>212</v>
      </c>
      <c r="B17" s="1">
        <f>'7.- UpDate'!D25</f>
        <v>0</v>
      </c>
      <c r="C17" s="1">
        <f>'7.- UpDate'!E25</f>
        <v>0</v>
      </c>
      <c r="F17" s="39" t="s">
        <v>127</v>
      </c>
      <c r="G17" s="38">
        <f>'7.- UpDate'!H16</f>
        <v>2.4232999999999998</v>
      </c>
      <c r="V17" s="116" t="s">
        <v>213</v>
      </c>
      <c r="Z17">
        <v>95</v>
      </c>
      <c r="AA17">
        <v>16</v>
      </c>
      <c r="AC17">
        <v>80</v>
      </c>
      <c r="AE17" s="52">
        <v>45597</v>
      </c>
      <c r="AO17" s="62">
        <f>'2.HistóricoConsumoEnergético'!A16</f>
        <v>45511</v>
      </c>
      <c r="AP17" s="75">
        <f>'2.HistóricoConsumoEnergético'!B16</f>
        <v>0</v>
      </c>
      <c r="AQ17" s="75">
        <f>'2.HistóricoConsumoEnergético'!C16</f>
        <v>0</v>
      </c>
      <c r="AR17" s="9">
        <f>'2.HistóricoConsumoEnergético'!D16</f>
        <v>0</v>
      </c>
      <c r="AS17" s="6">
        <f>AP17+AQ17</f>
        <v>0</v>
      </c>
      <c r="AT17" s="9" t="str">
        <f t="shared" si="3"/>
        <v>-</v>
      </c>
      <c r="AU17" s="52">
        <f>'2.HistóricoConsumoEnergético'!G16</f>
        <v>45511</v>
      </c>
      <c r="AV17" s="52" t="str">
        <f>'2.HistóricoConsumoEnergético'!H16</f>
        <v>Balón de 10kg</v>
      </c>
      <c r="AW17">
        <f>'2.HistóricoConsumoEnergético'!I16</f>
        <v>0</v>
      </c>
      <c r="AX17">
        <f>'2.HistóricoConsumoEnergético'!J16</f>
        <v>0</v>
      </c>
      <c r="AY17" s="4">
        <f>'2.HistóricoConsumoEnergético'!K16</f>
        <v>0</v>
      </c>
      <c r="AZ17" s="66">
        <f t="shared" si="9"/>
        <v>0</v>
      </c>
      <c r="BC17" s="52">
        <f>'2.HistóricoConsumoEnergético'!M16</f>
        <v>45511</v>
      </c>
      <c r="BD17" s="52" t="str">
        <f>'2.HistóricoConsumoEnergético'!N16</f>
        <v>m3</v>
      </c>
      <c r="BE17">
        <f>'2.HistóricoConsumoEnergético'!O16</f>
        <v>0</v>
      </c>
      <c r="BF17" s="4">
        <f>'2.HistóricoConsumoEnergético'!P16</f>
        <v>0</v>
      </c>
      <c r="BG17" s="66">
        <f t="shared" si="10"/>
        <v>0</v>
      </c>
      <c r="BH17" s="52">
        <f>'2.HistóricoConsumoEnergético'!R16</f>
        <v>45511</v>
      </c>
      <c r="BI17" t="str">
        <f>'2.HistóricoConsumoEnergético'!S16</f>
        <v>gal</v>
      </c>
      <c r="BJ17">
        <f>'2.HistóricoConsumoEnergético'!T16</f>
        <v>0</v>
      </c>
      <c r="BK17" s="4">
        <f>'2.HistóricoConsumoEnergético'!U16</f>
        <v>0</v>
      </c>
      <c r="BL17" s="65">
        <f t="shared" si="11"/>
        <v>0</v>
      </c>
      <c r="BM17" s="52">
        <f>'2.HistóricoConsumoEnergético'!W16</f>
        <v>0</v>
      </c>
      <c r="BN17">
        <f>'2.HistóricoConsumoEnergético'!X16</f>
        <v>0</v>
      </c>
      <c r="BO17">
        <f>'2.HistóricoConsumoEnergético'!Y16</f>
        <v>0</v>
      </c>
      <c r="BQ17">
        <f>'1.GeneralesEmpresa'!H24</f>
        <v>0</v>
      </c>
      <c r="BR17" s="52">
        <f t="shared" si="12"/>
        <v>45511</v>
      </c>
      <c r="BS17">
        <v>0</v>
      </c>
      <c r="BT17" s="65">
        <f t="shared" si="13"/>
        <v>0</v>
      </c>
      <c r="BU17" s="4">
        <f t="shared" si="14"/>
        <v>0</v>
      </c>
      <c r="BV17" s="52">
        <f t="shared" si="15"/>
        <v>45511</v>
      </c>
      <c r="BX17" s="52">
        <f t="shared" si="16"/>
        <v>45511</v>
      </c>
      <c r="BY17" s="1">
        <f t="shared" si="17"/>
        <v>0</v>
      </c>
      <c r="BZ17" s="9">
        <f t="shared" si="18"/>
        <v>0</v>
      </c>
      <c r="CA17" s="67" t="str">
        <f t="shared" si="19"/>
        <v>0</v>
      </c>
      <c r="CB17" s="1">
        <f t="shared" si="20"/>
        <v>0</v>
      </c>
      <c r="CC17" s="9">
        <f t="shared" si="21"/>
        <v>0</v>
      </c>
      <c r="CD17" s="67" t="str">
        <f t="shared" si="22"/>
        <v>0</v>
      </c>
      <c r="CE17" s="68">
        <f t="shared" si="23"/>
        <v>0</v>
      </c>
      <c r="CF17" s="9">
        <f t="shared" si="24"/>
        <v>0</v>
      </c>
      <c r="CG17" s="9" t="str">
        <f t="shared" si="25"/>
        <v>0</v>
      </c>
      <c r="CH17" s="68">
        <f t="shared" si="26"/>
        <v>0</v>
      </c>
      <c r="CI17" s="9">
        <f t="shared" si="27"/>
        <v>0</v>
      </c>
      <c r="CJ17" s="1" t="str">
        <f t="shared" si="28"/>
        <v>0</v>
      </c>
      <c r="CK17" s="68">
        <f t="shared" si="29"/>
        <v>0</v>
      </c>
      <c r="CL17" s="68">
        <f t="shared" si="30"/>
        <v>0</v>
      </c>
      <c r="CM17" s="68" t="e">
        <f t="shared" si="31"/>
        <v>#DIV/0!</v>
      </c>
      <c r="CN17" s="67">
        <f t="shared" si="32"/>
        <v>0</v>
      </c>
      <c r="CO17" s="67">
        <f t="shared" si="33"/>
        <v>0</v>
      </c>
      <c r="CP17" s="1">
        <f>Hoja2!B12</f>
        <v>0</v>
      </c>
      <c r="CQ17" s="66" t="e">
        <f>CL17/CP17</f>
        <v>#DIV/0!</v>
      </c>
      <c r="CR17" s="66" t="str">
        <f>IFERROR(BY17/'1.GeneralesEmpresa'!G24,"-")</f>
        <v>-</v>
      </c>
      <c r="CS17" t="e">
        <f>CN17/'1.GeneralesEmpresa'!$G$10</f>
        <v>#DIV/0!</v>
      </c>
      <c r="CT17" s="80" t="str">
        <f>IFERROR(CN17/'1.GeneralesEmpresa'!G24,"-")</f>
        <v>-</v>
      </c>
      <c r="CU17" s="1">
        <f>'7.- UpDate'!$B$2*BY17</f>
        <v>0</v>
      </c>
      <c r="CV17" s="1">
        <f t="shared" si="35"/>
        <v>0</v>
      </c>
      <c r="CW17" s="68">
        <f t="shared" si="36"/>
        <v>0</v>
      </c>
      <c r="CX17" s="68">
        <f t="shared" si="37"/>
        <v>0</v>
      </c>
      <c r="CY17" s="68">
        <f t="shared" si="38"/>
        <v>0</v>
      </c>
      <c r="CZ17" s="66" t="str">
        <f>IFERROR(CY17/'1.GeneralesEmpresa'!G24,"-")</f>
        <v>-</v>
      </c>
      <c r="DB17" s="66">
        <f t="shared" si="39"/>
        <v>0</v>
      </c>
      <c r="DC17" t="str">
        <f>IF('4.Ident.Princip.Consumos'!M18="Monofásico","Monofásico","Trifásico")</f>
        <v>Monofásico</v>
      </c>
      <c r="DD17" s="84" t="str">
        <f>IF('4.Ident.Princip.Consumos'!J18="","-",'4.Ident.Princip.Consumos'!J18)</f>
        <v>-</v>
      </c>
      <c r="DE17" s="84" t="str">
        <f>IF('4.Ident.Princip.Consumos'!K18="","-",'4.Ident.Princip.Consumos'!K18)</f>
        <v>-</v>
      </c>
      <c r="DF17" s="84" t="str">
        <f>IF('4.Ident.Princip.Consumos'!L18="","-",'4.Ident.Princip.Consumos'!L18)</f>
        <v>-</v>
      </c>
      <c r="DG17" t="e">
        <f t="shared" si="40"/>
        <v>#DIV/0!</v>
      </c>
      <c r="DH17" t="str">
        <f t="shared" si="41"/>
        <v>Monofásico</v>
      </c>
      <c r="DI17" t="e">
        <f>('4.Ident.Princip.Consumos'!I18*Hoja1!DG17*'4.Ident.Princip.Consumos'!$E$30*1.732)/1000</f>
        <v>#DIV/0!</v>
      </c>
      <c r="DJ17" t="e">
        <f>('4.Ident.Princip.Consumos'!I18*Hoja1!DD17*'4.Ident.Princip.Consumos'!$E$30)/1000</f>
        <v>#VALUE!</v>
      </c>
      <c r="DK17" s="3" t="e">
        <f t="shared" si="42"/>
        <v>#VALUE!</v>
      </c>
      <c r="DL17" t="e">
        <f>(CS39*CU39)/'4.Ident.Princip.Consumos'!$E$31</f>
        <v>#VALUE!</v>
      </c>
      <c r="DM17" s="72" t="e">
        <f t="shared" si="43"/>
        <v>#VALUE!</v>
      </c>
      <c r="DN17" s="3" t="e">
        <f>DL17/('4.Ident.Princip.Consumos'!$E$30*'4.Ident.Princip.Consumos'!I18*1.732)*1000</f>
        <v>#VALUE!</v>
      </c>
      <c r="DO17" s="3" t="e">
        <f>DL17/('4.Ident.Princip.Consumos'!$E$30*'4.Ident.Princip.Consumos'!I18)*1000</f>
        <v>#VALUE!</v>
      </c>
      <c r="DP17" s="3" t="e">
        <f t="shared" si="44"/>
        <v>#VALUE!</v>
      </c>
      <c r="DQ17" t="e">
        <f>DN17*'4.Ident.Princip.Consumos'!I18*0.8*1.732/1000</f>
        <v>#VALUE!</v>
      </c>
      <c r="DR17" s="72" t="str">
        <f t="shared" si="4"/>
        <v>-</v>
      </c>
      <c r="DS17" s="72" t="str">
        <f t="shared" si="4"/>
        <v>-</v>
      </c>
      <c r="DT17" s="72" t="str">
        <f t="shared" si="4"/>
        <v>-</v>
      </c>
      <c r="DU17" s="72" t="str">
        <f t="shared" si="45"/>
        <v>-</v>
      </c>
      <c r="DV17" s="72" t="str">
        <f t="shared" si="46"/>
        <v>-</v>
      </c>
      <c r="DW17" s="72" t="str">
        <f t="shared" si="47"/>
        <v>-</v>
      </c>
      <c r="DX17" s="72" t="str">
        <f t="shared" si="48"/>
        <v>-</v>
      </c>
      <c r="DY17" t="str">
        <f t="shared" si="49"/>
        <v>-</v>
      </c>
      <c r="DZ17" t="str">
        <f t="shared" si="50"/>
        <v>-</v>
      </c>
      <c r="EA17" s="72" t="str">
        <f t="shared" si="51"/>
        <v>-</v>
      </c>
      <c r="EB17" s="73" t="str">
        <f t="shared" si="52"/>
        <v>-</v>
      </c>
      <c r="EC17" s="73" t="str">
        <f t="shared" si="53"/>
        <v>-</v>
      </c>
      <c r="ED17" s="73" t="str">
        <f t="shared" si="54"/>
        <v>-</v>
      </c>
      <c r="EE17" s="73" t="str">
        <f t="shared" si="71"/>
        <v>-</v>
      </c>
      <c r="EF17" s="72" t="str">
        <f t="shared" si="55"/>
        <v>-</v>
      </c>
      <c r="EG17" s="72" t="str">
        <f t="shared" si="56"/>
        <v>-</v>
      </c>
      <c r="EH17" s="72" t="str">
        <f t="shared" si="57"/>
        <v>-</v>
      </c>
      <c r="EI17" s="72" t="str">
        <f t="shared" si="58"/>
        <v>-</v>
      </c>
      <c r="EJ17" s="7" t="str">
        <f t="shared" si="59"/>
        <v>-</v>
      </c>
      <c r="EK17" s="87" t="str">
        <f t="shared" si="60"/>
        <v>-</v>
      </c>
      <c r="EL17" s="87" t="str">
        <f t="shared" si="61"/>
        <v>-</v>
      </c>
      <c r="EM17" s="87" t="str">
        <f t="shared" si="62"/>
        <v>-</v>
      </c>
      <c r="EN17" s="88" t="str">
        <f t="shared" si="63"/>
        <v>-</v>
      </c>
      <c r="EQ17" s="73" t="e">
        <f t="shared" si="64"/>
        <v>#VALUE!</v>
      </c>
      <c r="ER17" t="e">
        <f t="shared" si="65"/>
        <v>#VALUE!</v>
      </c>
      <c r="ES17" t="e">
        <f t="shared" si="66"/>
        <v>#VALUE!</v>
      </c>
      <c r="ET17" t="e">
        <f t="shared" si="67"/>
        <v>#VALUE!</v>
      </c>
      <c r="EU17" s="11" t="str">
        <f t="shared" si="68"/>
        <v>-</v>
      </c>
      <c r="EX17">
        <f>'4.Ident.Princip.Consumos'!O18</f>
        <v>0</v>
      </c>
      <c r="EY17">
        <f>'4.Ident.Princip.Consumos'!P18</f>
        <v>0</v>
      </c>
      <c r="EZ17">
        <f>'4.Ident.Princip.Consumos'!Q18</f>
        <v>0</v>
      </c>
      <c r="FA17" t="e">
        <f>((((((EX17+EY17+EZ17)/3))*1.732*'4.Ident.Princip.Consumos'!I18*'4.Ident.Princip.Consumos'!$E$30)/1000)*'4.Ident.Princip.Consumos'!G18*4.34*12)*$AT$19</f>
        <v>#DIV/0!</v>
      </c>
      <c r="FB17" t="e">
        <f>(((EX17*'4.Ident.Princip.Consumos'!$E$30*'4.Ident.Princip.Consumos'!I18)/1000)*'4.Ident.Princip.Consumos'!G18*4.34*12)*$AT$19</f>
        <v>#DIV/0!</v>
      </c>
      <c r="FC17" t="e">
        <f t="shared" si="69"/>
        <v>#DIV/0!</v>
      </c>
      <c r="FD17" t="e">
        <f t="shared" si="70"/>
        <v>#DIV/0!</v>
      </c>
      <c r="FH17" s="73">
        <f t="shared" si="72"/>
        <v>1.1499999999999999</v>
      </c>
    </row>
    <row r="18" spans="1:164" x14ac:dyDescent="0.3">
      <c r="A18" s="37" t="s">
        <v>206</v>
      </c>
      <c r="B18" s="1">
        <f>'7.- UpDate'!D26</f>
        <v>83.43</v>
      </c>
      <c r="C18" s="1">
        <f>'7.- UpDate'!E26</f>
        <v>17.02</v>
      </c>
      <c r="F18" s="40" t="s">
        <v>136</v>
      </c>
      <c r="G18" s="38">
        <f>'7.- UpDate'!H17</f>
        <v>0.30120000000000002</v>
      </c>
      <c r="V18" s="116" t="s">
        <v>214</v>
      </c>
      <c r="X18">
        <v>15000</v>
      </c>
      <c r="Z18">
        <v>100</v>
      </c>
      <c r="AA18">
        <v>17</v>
      </c>
      <c r="AC18">
        <v>85</v>
      </c>
      <c r="AE18" s="52">
        <v>45627</v>
      </c>
      <c r="AO18" s="52"/>
      <c r="AP18" s="1">
        <f>SUM(AP6:AP17)</f>
        <v>0</v>
      </c>
      <c r="AQ18" s="1">
        <f>SUM(AQ6:AQ17)</f>
        <v>0</v>
      </c>
      <c r="AR18" s="9">
        <f>SUM(AR6:AR17)</f>
        <v>0</v>
      </c>
      <c r="AS18" s="1">
        <f>SUM(AS6:AS17)</f>
        <v>0</v>
      </c>
      <c r="AT18" s="9" t="str">
        <f>IFERROR((AR18/(AP18+AQ18)),"-")</f>
        <v>-</v>
      </c>
      <c r="AW18">
        <f>SUM(AW6:AW17)</f>
        <v>0</v>
      </c>
      <c r="AY18" s="9">
        <f>SUM(AY6:AY17)</f>
        <v>0</v>
      </c>
      <c r="AZ18" s="1">
        <f>SUM(AZ6:AZ17)</f>
        <v>0</v>
      </c>
      <c r="BA18" s="66">
        <f>(AZ18/AV23)*2.3</f>
        <v>0</v>
      </c>
      <c r="BD18" s="66">
        <f>BG18*BA20</f>
        <v>0</v>
      </c>
      <c r="BE18" s="78" t="e">
        <f>BF18/BD18</f>
        <v>#DIV/0!</v>
      </c>
      <c r="BF18" s="4">
        <f>SUM(BF6:BF17)</f>
        <v>0</v>
      </c>
      <c r="BG18" s="66">
        <f>SUM(BG6:BG17)</f>
        <v>0</v>
      </c>
      <c r="BI18">
        <f>BL18*BA20</f>
        <v>0</v>
      </c>
      <c r="BJ18" s="78" t="e">
        <f>BK18/BI18</f>
        <v>#DIV/0!</v>
      </c>
      <c r="BK18" s="4">
        <f>SUM(BK6:BK17)</f>
        <v>0</v>
      </c>
      <c r="BL18">
        <f>SUM(BL6:BL17)</f>
        <v>0</v>
      </c>
      <c r="BT18" s="76">
        <f>SUM(BT6:BT17)</f>
        <v>0</v>
      </c>
      <c r="BU18" s="4">
        <f>SUM(BU6:BU17)</f>
        <v>0</v>
      </c>
      <c r="BY18" s="1">
        <f>AVERAGE(BY6:BY17)</f>
        <v>0</v>
      </c>
      <c r="BZ18" s="1">
        <f t="shared" ref="BZ18:CD18" si="73">AVERAGE(BZ6:BZ17)</f>
        <v>0</v>
      </c>
      <c r="CA18" s="67" t="e">
        <f>AVERAGE(CA6:CA17)</f>
        <v>#DIV/0!</v>
      </c>
      <c r="CB18" s="1">
        <f t="shared" si="73"/>
        <v>0</v>
      </c>
      <c r="CC18" s="1">
        <f t="shared" si="73"/>
        <v>0</v>
      </c>
      <c r="CD18" s="1" t="e">
        <f t="shared" si="73"/>
        <v>#DIV/0!</v>
      </c>
      <c r="CE18" s="1">
        <f t="shared" ref="CE18" si="74">AVERAGE(CE6:CE17)</f>
        <v>0</v>
      </c>
      <c r="CF18" s="1">
        <f t="shared" ref="CF18" si="75">AVERAGE(CF6:CF17)</f>
        <v>0</v>
      </c>
      <c r="CG18" s="1" t="e">
        <f t="shared" ref="CG18" si="76">AVERAGE(CG6:CG17)</f>
        <v>#DIV/0!</v>
      </c>
      <c r="CH18" s="1">
        <f t="shared" ref="CH18" si="77">AVERAGE(CH6:CH17)</f>
        <v>0</v>
      </c>
      <c r="CI18" s="1">
        <f t="shared" ref="CI18" si="78">AVERAGE(CI6:CI17)</f>
        <v>0</v>
      </c>
      <c r="CJ18" s="1" t="e">
        <f t="shared" ref="CJ18" si="79">AVERAGE(CJ6:CJ17)</f>
        <v>#DIV/0!</v>
      </c>
      <c r="CK18" s="99">
        <f>AVERAGE(CK6:CK17)</f>
        <v>0</v>
      </c>
      <c r="CL18" s="99">
        <f>AVERAGE(CL6:CL17)</f>
        <v>0</v>
      </c>
      <c r="CM18" s="99" t="e">
        <f>AVERAGE(CM6:CM17)</f>
        <v>#DIV/0!</v>
      </c>
      <c r="CN18" s="67">
        <f>AVERAGE(CN6:CN17)</f>
        <v>0</v>
      </c>
      <c r="CO18" s="67">
        <f>AVERAGE(CO6:CO17)</f>
        <v>0</v>
      </c>
      <c r="CP18" s="1">
        <f t="shared" ref="CP18" si="80">AVERAGE(CP6:CP17)</f>
        <v>0</v>
      </c>
      <c r="CQ18" s="66" t="e">
        <f>CL18/CP18</f>
        <v>#DIV/0!</v>
      </c>
      <c r="CR18" s="66" t="e">
        <f>AVERAGE(CR6:CR17)</f>
        <v>#DIV/0!</v>
      </c>
      <c r="CS18" s="66" t="e">
        <f>AVERAGE(CS6:CS17)</f>
        <v>#DIV/0!</v>
      </c>
      <c r="CT18" s="66" t="e">
        <f>AVERAGE(CT6:CT17)</f>
        <v>#DIV/0!</v>
      </c>
      <c r="CU18" s="66">
        <f t="shared" ref="CU18:CY18" si="81">AVERAGE(CU6:CU17)</f>
        <v>0</v>
      </c>
      <c r="CV18" s="66">
        <f t="shared" si="81"/>
        <v>0</v>
      </c>
      <c r="CW18" s="66">
        <f t="shared" si="81"/>
        <v>0</v>
      </c>
      <c r="CX18" s="66">
        <f t="shared" si="81"/>
        <v>0</v>
      </c>
      <c r="CY18" s="66">
        <f t="shared" si="81"/>
        <v>0</v>
      </c>
      <c r="CZ18" s="66" t="e">
        <f>AVERAGE(CZ6:CZ17)</f>
        <v>#DIV/0!</v>
      </c>
      <c r="DA18" s="66"/>
      <c r="DB18" s="66">
        <f>AVERAGE(DB6:DB17)</f>
        <v>0</v>
      </c>
      <c r="DC18" t="str">
        <f>IF('4.Ident.Princip.Consumos'!M19="Monofásico","Monofásico","Trifásico")</f>
        <v>Monofásico</v>
      </c>
      <c r="DD18" s="84" t="str">
        <f>IF('4.Ident.Princip.Consumos'!J19="","-",'4.Ident.Princip.Consumos'!J19)</f>
        <v>-</v>
      </c>
      <c r="DE18" s="84" t="str">
        <f>IF('4.Ident.Princip.Consumos'!K19="","-",'4.Ident.Princip.Consumos'!K19)</f>
        <v>-</v>
      </c>
      <c r="DF18" s="84" t="str">
        <f>IF('4.Ident.Princip.Consumos'!L19="","-",'4.Ident.Princip.Consumos'!L19)</f>
        <v>-</v>
      </c>
      <c r="DG18" t="e">
        <f t="shared" si="40"/>
        <v>#DIV/0!</v>
      </c>
      <c r="DH18" t="str">
        <f t="shared" si="41"/>
        <v>Monofásico</v>
      </c>
      <c r="DI18" t="e">
        <f>('4.Ident.Princip.Consumos'!I19*Hoja1!DG18*'4.Ident.Princip.Consumos'!$E$30*1.732)/1000</f>
        <v>#DIV/0!</v>
      </c>
      <c r="DJ18" t="e">
        <f>('4.Ident.Princip.Consumos'!I19*Hoja1!DD18*'4.Ident.Princip.Consumos'!$E$30)/1000</f>
        <v>#VALUE!</v>
      </c>
      <c r="DK18" s="3" t="e">
        <f t="shared" si="42"/>
        <v>#VALUE!</v>
      </c>
      <c r="DL18" t="e">
        <f>(CS40*CU40)/'4.Ident.Princip.Consumos'!$E$31</f>
        <v>#VALUE!</v>
      </c>
      <c r="DM18" s="72" t="e">
        <f t="shared" si="43"/>
        <v>#VALUE!</v>
      </c>
      <c r="DN18" s="3" t="e">
        <f>DL18/('4.Ident.Princip.Consumos'!$E$30*'4.Ident.Princip.Consumos'!I19*1.732)*1000</f>
        <v>#VALUE!</v>
      </c>
      <c r="DO18" s="3" t="e">
        <f>DL18/('4.Ident.Princip.Consumos'!$E$30*'4.Ident.Princip.Consumos'!I19)*1000</f>
        <v>#VALUE!</v>
      </c>
      <c r="DP18" s="3" t="e">
        <f t="shared" si="44"/>
        <v>#VALUE!</v>
      </c>
      <c r="DQ18" t="e">
        <f>DN18*'4.Ident.Princip.Consumos'!I19*0.8*1.732/1000</f>
        <v>#VALUE!</v>
      </c>
      <c r="DR18" s="72" t="str">
        <f t="shared" si="4"/>
        <v>-</v>
      </c>
      <c r="DS18" s="72" t="str">
        <f t="shared" si="4"/>
        <v>-</v>
      </c>
      <c r="DT18" s="72" t="str">
        <f t="shared" si="4"/>
        <v>-</v>
      </c>
      <c r="DU18" s="72" t="str">
        <f t="shared" si="45"/>
        <v>-</v>
      </c>
      <c r="DV18" s="72" t="str">
        <f t="shared" si="46"/>
        <v>-</v>
      </c>
      <c r="DW18" s="72" t="str">
        <f t="shared" si="47"/>
        <v>-</v>
      </c>
      <c r="DX18" s="72" t="str">
        <f t="shared" si="48"/>
        <v>-</v>
      </c>
      <c r="DY18" t="str">
        <f t="shared" si="49"/>
        <v>-</v>
      </c>
      <c r="DZ18" t="str">
        <f t="shared" si="50"/>
        <v>-</v>
      </c>
      <c r="EA18" s="72" t="str">
        <f t="shared" si="51"/>
        <v>-</v>
      </c>
      <c r="EB18" s="73" t="str">
        <f t="shared" si="52"/>
        <v>-</v>
      </c>
      <c r="EC18" s="73" t="str">
        <f t="shared" si="53"/>
        <v>-</v>
      </c>
      <c r="ED18" s="73" t="str">
        <f t="shared" si="54"/>
        <v>-</v>
      </c>
      <c r="EE18" s="73" t="str">
        <f t="shared" si="71"/>
        <v>-</v>
      </c>
      <c r="EF18" s="72" t="str">
        <f t="shared" si="55"/>
        <v>-</v>
      </c>
      <c r="EG18" s="72" t="str">
        <f t="shared" si="56"/>
        <v>-</v>
      </c>
      <c r="EH18" s="72" t="str">
        <f t="shared" si="57"/>
        <v>-</v>
      </c>
      <c r="EI18" s="72" t="str">
        <f t="shared" si="58"/>
        <v>-</v>
      </c>
      <c r="EJ18" s="7" t="str">
        <f t="shared" si="59"/>
        <v>-</v>
      </c>
      <c r="EK18" s="87" t="str">
        <f t="shared" si="60"/>
        <v>-</v>
      </c>
      <c r="EL18" s="87" t="str">
        <f t="shared" si="61"/>
        <v>-</v>
      </c>
      <c r="EM18" s="87" t="str">
        <f t="shared" si="62"/>
        <v>-</v>
      </c>
      <c r="EN18" s="88" t="str">
        <f t="shared" si="63"/>
        <v>-</v>
      </c>
      <c r="EQ18" s="73" t="e">
        <f t="shared" si="64"/>
        <v>#VALUE!</v>
      </c>
      <c r="ER18" t="e">
        <f t="shared" si="65"/>
        <v>#VALUE!</v>
      </c>
      <c r="ES18" t="e">
        <f t="shared" si="66"/>
        <v>#VALUE!</v>
      </c>
      <c r="ET18" t="e">
        <f t="shared" si="67"/>
        <v>#VALUE!</v>
      </c>
      <c r="EU18" s="11" t="str">
        <f t="shared" si="68"/>
        <v>-</v>
      </c>
      <c r="EX18">
        <f>'4.Ident.Princip.Consumos'!O19</f>
        <v>0</v>
      </c>
      <c r="EY18">
        <f>'4.Ident.Princip.Consumos'!P19</f>
        <v>0</v>
      </c>
      <c r="EZ18">
        <f>'4.Ident.Princip.Consumos'!Q19</f>
        <v>0</v>
      </c>
      <c r="FA18" t="e">
        <f>((((((EX18+EY18+EZ18)/3))*1.732*'4.Ident.Princip.Consumos'!I19*'4.Ident.Princip.Consumos'!$E$30)/1000)*'4.Ident.Princip.Consumos'!G19*4.34*12)*$AT$19</f>
        <v>#DIV/0!</v>
      </c>
      <c r="FB18" t="e">
        <f>(((EX18*'4.Ident.Princip.Consumos'!$E$30*'4.Ident.Princip.Consumos'!I19)/1000)*'4.Ident.Princip.Consumos'!G19*4.34*12)*$AT$19</f>
        <v>#DIV/0!</v>
      </c>
      <c r="FC18" t="e">
        <f t="shared" si="69"/>
        <v>#DIV/0!</v>
      </c>
      <c r="FD18" t="e">
        <f t="shared" si="70"/>
        <v>#DIV/0!</v>
      </c>
      <c r="FH18" s="73">
        <f t="shared" si="72"/>
        <v>1.1499999999999999</v>
      </c>
    </row>
    <row r="19" spans="1:164" x14ac:dyDescent="0.3">
      <c r="A19" s="36" t="s">
        <v>209</v>
      </c>
      <c r="B19" s="1">
        <f>'7.- UpDate'!D27</f>
        <v>80.260000000000005</v>
      </c>
      <c r="C19" s="1">
        <f>'7.- UpDate'!E27</f>
        <v>16.809999999999999</v>
      </c>
      <c r="F19" s="39" t="s">
        <v>207</v>
      </c>
      <c r="G19" s="38">
        <f>'7.- UpDate'!H18</f>
        <v>78.66</v>
      </c>
      <c r="V19" s="116" t="s">
        <v>215</v>
      </c>
      <c r="X19">
        <v>20000</v>
      </c>
      <c r="Z19">
        <v>200</v>
      </c>
      <c r="AA19">
        <v>18</v>
      </c>
      <c r="AC19">
        <v>90</v>
      </c>
      <c r="AE19" s="52">
        <v>45658</v>
      </c>
      <c r="AO19" s="3" t="s">
        <v>168</v>
      </c>
      <c r="AP19" s="84">
        <f>AVERAGE(AP6:AP17)</f>
        <v>0</v>
      </c>
      <c r="AQ19" s="84">
        <f>AVERAGE(AQ6:AQ17)</f>
        <v>0</v>
      </c>
      <c r="AS19" s="20">
        <f>AP18+AQ18</f>
        <v>0</v>
      </c>
      <c r="AT19" s="339" t="e">
        <f>AVERAGE(AT6:AT17)</f>
        <v>#DIV/0!</v>
      </c>
      <c r="AY19" s="74">
        <f>AVERAGE(AY6:AY17)</f>
        <v>0</v>
      </c>
      <c r="AZ19" s="6">
        <f>AZ18*BA20</f>
        <v>0</v>
      </c>
      <c r="BA19" s="77" t="e">
        <f>AY18/AZ19</f>
        <v>#DIV/0!</v>
      </c>
      <c r="BY19" s="20">
        <f>SUM(BY6:BY17)</f>
        <v>0</v>
      </c>
      <c r="BZ19" s="20">
        <f>SUM(BZ6:BZ17)</f>
        <v>0</v>
      </c>
      <c r="CA19" s="104" t="e">
        <f>BZ19/BY19</f>
        <v>#DIV/0!</v>
      </c>
      <c r="CC19" s="74">
        <f>SUM(CC6:CC17)</f>
        <v>0</v>
      </c>
      <c r="CD19" s="74">
        <f t="shared" ref="CD19:CI19" si="82">SUM(CD6:CD17)</f>
        <v>0</v>
      </c>
      <c r="CE19" s="74">
        <f t="shared" si="82"/>
        <v>0</v>
      </c>
      <c r="CF19" s="74">
        <f t="shared" si="82"/>
        <v>0</v>
      </c>
      <c r="CG19" s="74">
        <f t="shared" si="82"/>
        <v>0</v>
      </c>
      <c r="CH19" s="74">
        <f t="shared" si="82"/>
        <v>0</v>
      </c>
      <c r="CI19" s="74">
        <f t="shared" si="82"/>
        <v>0</v>
      </c>
      <c r="CJ19" t="s">
        <v>216</v>
      </c>
      <c r="CL19" s="79"/>
      <c r="CM19" s="103">
        <f>SUM(CI6:CI17,CF6:CF17,CC6:CC17)</f>
        <v>0</v>
      </c>
      <c r="CQ19" s="66"/>
      <c r="DC19" t="str">
        <f>IF('4.Ident.Princip.Consumos'!M20="Monofásico","Monofásico","Trifásico")</f>
        <v>Monofásico</v>
      </c>
      <c r="DD19" s="84" t="str">
        <f>IF('4.Ident.Princip.Consumos'!J20="","-",'4.Ident.Princip.Consumos'!J20)</f>
        <v>-</v>
      </c>
      <c r="DE19" s="84" t="str">
        <f>IF('4.Ident.Princip.Consumos'!K20="","-",'4.Ident.Princip.Consumos'!K20)</f>
        <v>-</v>
      </c>
      <c r="DF19" s="84" t="str">
        <f>IF('4.Ident.Princip.Consumos'!L20="","-",'4.Ident.Princip.Consumos'!L20)</f>
        <v>-</v>
      </c>
      <c r="DG19" t="e">
        <f t="shared" si="40"/>
        <v>#DIV/0!</v>
      </c>
      <c r="DH19" t="str">
        <f t="shared" si="41"/>
        <v>Monofásico</v>
      </c>
      <c r="DI19" t="e">
        <f>('4.Ident.Princip.Consumos'!I20*Hoja1!DG19*'4.Ident.Princip.Consumos'!$E$30*1.732)/1000</f>
        <v>#DIV/0!</v>
      </c>
      <c r="DJ19" t="e">
        <f>('4.Ident.Princip.Consumos'!I20*Hoja1!DD19*'4.Ident.Princip.Consumos'!$E$30)/1000</f>
        <v>#VALUE!</v>
      </c>
      <c r="DK19" s="3" t="e">
        <f t="shared" si="42"/>
        <v>#VALUE!</v>
      </c>
      <c r="DL19" t="e">
        <f>(CS41*CU41)/'4.Ident.Princip.Consumos'!$E$31</f>
        <v>#VALUE!</v>
      </c>
      <c r="DM19" s="72" t="e">
        <f t="shared" si="43"/>
        <v>#VALUE!</v>
      </c>
      <c r="DN19" s="3" t="e">
        <f>DL19/('4.Ident.Princip.Consumos'!$E$30*'4.Ident.Princip.Consumos'!I20*1.732)*1000</f>
        <v>#VALUE!</v>
      </c>
      <c r="DO19" s="3" t="e">
        <f>DL19/('4.Ident.Princip.Consumos'!$E$30*'4.Ident.Princip.Consumos'!I20)*1000</f>
        <v>#VALUE!</v>
      </c>
      <c r="DP19" s="3" t="e">
        <f t="shared" si="44"/>
        <v>#VALUE!</v>
      </c>
      <c r="DQ19" t="e">
        <f>DN19*'4.Ident.Princip.Consumos'!I20*0.8*1.732/1000</f>
        <v>#VALUE!</v>
      </c>
      <c r="DR19" s="72" t="str">
        <f t="shared" si="4"/>
        <v>-</v>
      </c>
      <c r="DS19" s="72" t="str">
        <f t="shared" si="4"/>
        <v>-</v>
      </c>
      <c r="DT19" s="72" t="str">
        <f t="shared" si="4"/>
        <v>-</v>
      </c>
      <c r="DU19" s="72" t="str">
        <f t="shared" si="45"/>
        <v>-</v>
      </c>
      <c r="DV19" s="72" t="str">
        <f t="shared" si="46"/>
        <v>-</v>
      </c>
      <c r="DW19" s="72" t="str">
        <f t="shared" si="47"/>
        <v>-</v>
      </c>
      <c r="DX19" s="72" t="str">
        <f t="shared" si="48"/>
        <v>-</v>
      </c>
      <c r="DY19" t="str">
        <f t="shared" si="49"/>
        <v>-</v>
      </c>
      <c r="DZ19" t="str">
        <f t="shared" si="50"/>
        <v>-</v>
      </c>
      <c r="EA19" s="72" t="str">
        <f t="shared" si="51"/>
        <v>-</v>
      </c>
      <c r="EB19" s="73" t="str">
        <f t="shared" si="52"/>
        <v>-</v>
      </c>
      <c r="EC19" s="73" t="str">
        <f t="shared" si="53"/>
        <v>-</v>
      </c>
      <c r="ED19" s="73" t="str">
        <f t="shared" si="54"/>
        <v>-</v>
      </c>
      <c r="EE19" s="73" t="str">
        <f t="shared" si="71"/>
        <v>-</v>
      </c>
      <c r="EF19" s="72" t="str">
        <f t="shared" si="55"/>
        <v>-</v>
      </c>
      <c r="EG19" s="72" t="str">
        <f t="shared" si="56"/>
        <v>-</v>
      </c>
      <c r="EH19" s="72" t="str">
        <f t="shared" si="57"/>
        <v>-</v>
      </c>
      <c r="EI19" s="72" t="str">
        <f t="shared" si="58"/>
        <v>-</v>
      </c>
      <c r="EJ19" s="7" t="str">
        <f t="shared" si="59"/>
        <v>-</v>
      </c>
      <c r="EK19" s="87" t="str">
        <f t="shared" si="60"/>
        <v>-</v>
      </c>
      <c r="EL19" s="87" t="str">
        <f t="shared" si="61"/>
        <v>-</v>
      </c>
      <c r="EM19" s="87" t="str">
        <f t="shared" si="62"/>
        <v>-</v>
      </c>
      <c r="EN19" s="88" t="str">
        <f t="shared" si="63"/>
        <v>-</v>
      </c>
      <c r="EQ19" s="73" t="e">
        <f t="shared" si="64"/>
        <v>#VALUE!</v>
      </c>
      <c r="ER19" t="e">
        <f t="shared" si="65"/>
        <v>#VALUE!</v>
      </c>
      <c r="ES19" t="e">
        <f t="shared" si="66"/>
        <v>#VALUE!</v>
      </c>
      <c r="ET19" t="e">
        <f t="shared" si="67"/>
        <v>#VALUE!</v>
      </c>
      <c r="EU19" s="11" t="str">
        <f t="shared" si="68"/>
        <v>-</v>
      </c>
      <c r="EX19">
        <f>'4.Ident.Princip.Consumos'!O20</f>
        <v>0</v>
      </c>
      <c r="EY19">
        <f>'4.Ident.Princip.Consumos'!P20</f>
        <v>0</v>
      </c>
      <c r="EZ19">
        <f>'4.Ident.Princip.Consumos'!Q20</f>
        <v>0</v>
      </c>
      <c r="FA19" t="e">
        <f>((((((EX19+EY19+EZ19)/3))*1.732*'4.Ident.Princip.Consumos'!I20*'4.Ident.Princip.Consumos'!$E$30)/1000)*'4.Ident.Princip.Consumos'!G20*4.34*12)*$AT$19</f>
        <v>#DIV/0!</v>
      </c>
      <c r="FB19" t="e">
        <f>(((EX19*'4.Ident.Princip.Consumos'!$E$30*'4.Ident.Princip.Consumos'!I20)/1000)*'4.Ident.Princip.Consumos'!G20*4.34*12)*$AT$19</f>
        <v>#DIV/0!</v>
      </c>
      <c r="FC19" t="e">
        <f t="shared" si="69"/>
        <v>#DIV/0!</v>
      </c>
      <c r="FD19" t="e">
        <f t="shared" si="70"/>
        <v>#DIV/0!</v>
      </c>
      <c r="FH19" s="73">
        <f t="shared" si="72"/>
        <v>1.1499999999999999</v>
      </c>
    </row>
    <row r="20" spans="1:164" ht="20" x14ac:dyDescent="0.3">
      <c r="A20" s="37" t="s">
        <v>186</v>
      </c>
      <c r="B20" s="1">
        <f>'7.- UpDate'!D28</f>
        <v>4.82E-2</v>
      </c>
      <c r="C20" s="1">
        <f>'7.- UpDate'!E28</f>
        <v>4.82E-2</v>
      </c>
      <c r="F20" s="1"/>
      <c r="G20" s="38">
        <f>'7.- UpDate'!H19</f>
        <v>0</v>
      </c>
      <c r="V20" s="116" t="s">
        <v>217</v>
      </c>
      <c r="X20">
        <v>25000</v>
      </c>
      <c r="Z20">
        <v>300</v>
      </c>
      <c r="AA20">
        <v>19</v>
      </c>
      <c r="AC20">
        <v>95</v>
      </c>
      <c r="AE20" s="52">
        <v>45689</v>
      </c>
      <c r="AU20" s="116" t="s">
        <v>218</v>
      </c>
      <c r="AW20" s="116">
        <v>12.5</v>
      </c>
      <c r="AX20" s="116" t="s">
        <v>219</v>
      </c>
      <c r="AZ20" s="116" t="s">
        <v>220</v>
      </c>
      <c r="BA20">
        <v>2.93071E-4</v>
      </c>
      <c r="BB20" s="116" t="s">
        <v>132</v>
      </c>
      <c r="CJ20" t="str">
        <f>IFERROR(CL6/'1.GeneralesEmpresa'!G13,"-")</f>
        <v>-</v>
      </c>
      <c r="CM20" s="66">
        <f>SUM(CH6:CH17,CE6:CE17,CB6:CB17)</f>
        <v>0</v>
      </c>
      <c r="CN20" t="str">
        <f>IFERROR(CM19/CM20,"-")</f>
        <v>-</v>
      </c>
      <c r="DC20" t="str">
        <f>IF('4.Ident.Princip.Consumos'!M21="Monofásico","Monofásico","Trifásico")</f>
        <v>Monofásico</v>
      </c>
      <c r="DD20" s="84" t="str">
        <f>IF('4.Ident.Princip.Consumos'!J21="","-",'4.Ident.Princip.Consumos'!J21)</f>
        <v>-</v>
      </c>
      <c r="DE20" s="84" t="str">
        <f>IF('4.Ident.Princip.Consumos'!K21="","-",'4.Ident.Princip.Consumos'!K21)</f>
        <v>-</v>
      </c>
      <c r="DF20" s="84" t="str">
        <f>IF('4.Ident.Princip.Consumos'!L21="","-",'4.Ident.Princip.Consumos'!L21)</f>
        <v>-</v>
      </c>
      <c r="DG20" t="e">
        <f t="shared" si="40"/>
        <v>#DIV/0!</v>
      </c>
      <c r="DH20" t="str">
        <f t="shared" si="41"/>
        <v>Monofásico</v>
      </c>
      <c r="DI20" t="e">
        <f>('4.Ident.Princip.Consumos'!I21*Hoja1!DG20*'4.Ident.Princip.Consumos'!$E$30*1.732)/1000</f>
        <v>#DIV/0!</v>
      </c>
      <c r="DJ20" t="e">
        <f>('4.Ident.Princip.Consumos'!I21*Hoja1!DD20*'4.Ident.Princip.Consumos'!$E$30)/1000</f>
        <v>#VALUE!</v>
      </c>
      <c r="DK20" s="3" t="e">
        <f t="shared" si="42"/>
        <v>#VALUE!</v>
      </c>
      <c r="DL20" t="e">
        <f>(CS42*CU42)/'4.Ident.Princip.Consumos'!$E$31</f>
        <v>#VALUE!</v>
      </c>
      <c r="DM20" s="72" t="e">
        <f t="shared" si="43"/>
        <v>#VALUE!</v>
      </c>
      <c r="DN20" s="3" t="e">
        <f>DL20/('4.Ident.Princip.Consumos'!$E$30*'4.Ident.Princip.Consumos'!I21*1.732)*1000</f>
        <v>#VALUE!</v>
      </c>
      <c r="DO20" s="3" t="e">
        <f>DL20/('4.Ident.Princip.Consumos'!$E$30*'4.Ident.Princip.Consumos'!I21)*1000</f>
        <v>#VALUE!</v>
      </c>
      <c r="DP20" s="3" t="e">
        <f t="shared" si="44"/>
        <v>#VALUE!</v>
      </c>
      <c r="DQ20" t="e">
        <f>DN20*'4.Ident.Princip.Consumos'!I21*0.8*1.732/1000</f>
        <v>#VALUE!</v>
      </c>
      <c r="DR20" s="72" t="str">
        <f t="shared" si="4"/>
        <v>-</v>
      </c>
      <c r="DS20" s="72" t="str">
        <f t="shared" si="4"/>
        <v>-</v>
      </c>
      <c r="DT20" s="72" t="str">
        <f t="shared" si="4"/>
        <v>-</v>
      </c>
      <c r="DU20" s="72" t="str">
        <f t="shared" si="45"/>
        <v>-</v>
      </c>
      <c r="DV20" s="72" t="str">
        <f t="shared" si="46"/>
        <v>-</v>
      </c>
      <c r="DW20" s="72" t="str">
        <f t="shared" si="47"/>
        <v>-</v>
      </c>
      <c r="DX20" s="72" t="str">
        <f t="shared" si="48"/>
        <v>-</v>
      </c>
      <c r="DY20" t="str">
        <f t="shared" si="49"/>
        <v>-</v>
      </c>
      <c r="DZ20" t="str">
        <f t="shared" si="50"/>
        <v>-</v>
      </c>
      <c r="EA20" s="72" t="str">
        <f t="shared" si="51"/>
        <v>-</v>
      </c>
      <c r="EB20" s="73" t="str">
        <f t="shared" si="52"/>
        <v>-</v>
      </c>
      <c r="EC20" s="73" t="str">
        <f t="shared" si="53"/>
        <v>-</v>
      </c>
      <c r="ED20" s="73" t="str">
        <f t="shared" si="54"/>
        <v>-</v>
      </c>
      <c r="EE20" s="73" t="str">
        <f t="shared" si="71"/>
        <v>-</v>
      </c>
      <c r="EF20" s="72" t="str">
        <f t="shared" si="55"/>
        <v>-</v>
      </c>
      <c r="EG20" s="72" t="str">
        <f t="shared" si="56"/>
        <v>-</v>
      </c>
      <c r="EH20" s="72" t="str">
        <f t="shared" si="57"/>
        <v>-</v>
      </c>
      <c r="EI20" s="72" t="str">
        <f t="shared" si="58"/>
        <v>-</v>
      </c>
      <c r="EJ20" s="7" t="str">
        <f t="shared" si="59"/>
        <v>-</v>
      </c>
      <c r="EK20" s="87" t="str">
        <f t="shared" si="60"/>
        <v>-</v>
      </c>
      <c r="EL20" s="87" t="str">
        <f t="shared" si="61"/>
        <v>-</v>
      </c>
      <c r="EM20" s="87" t="str">
        <f t="shared" si="62"/>
        <v>-</v>
      </c>
      <c r="EN20" s="88" t="str">
        <f t="shared" si="63"/>
        <v>-</v>
      </c>
      <c r="EQ20" s="73" t="e">
        <f t="shared" si="64"/>
        <v>#VALUE!</v>
      </c>
      <c r="ER20" t="e">
        <f t="shared" si="65"/>
        <v>#VALUE!</v>
      </c>
      <c r="ES20" t="e">
        <f t="shared" si="66"/>
        <v>#VALUE!</v>
      </c>
      <c r="ET20" t="e">
        <f t="shared" si="67"/>
        <v>#VALUE!</v>
      </c>
      <c r="EU20" s="11" t="str">
        <f t="shared" si="68"/>
        <v>-</v>
      </c>
      <c r="EX20">
        <f>'4.Ident.Princip.Consumos'!O21</f>
        <v>0</v>
      </c>
      <c r="EY20">
        <f>'4.Ident.Princip.Consumos'!P21</f>
        <v>0</v>
      </c>
      <c r="EZ20">
        <f>'4.Ident.Princip.Consumos'!Q21</f>
        <v>0</v>
      </c>
      <c r="FA20" t="e">
        <f>((((((EX20+EY20+EZ20)/3))*1.732*'4.Ident.Princip.Consumos'!I21*'4.Ident.Princip.Consumos'!$E$30)/1000)*'4.Ident.Princip.Consumos'!G21*4.34*12)*$AT$19</f>
        <v>#DIV/0!</v>
      </c>
      <c r="FB20" t="e">
        <f>(((EX20*'4.Ident.Princip.Consumos'!$E$30*'4.Ident.Princip.Consumos'!I21)/1000)*'4.Ident.Princip.Consumos'!G21*4.34*12)*$AT$19</f>
        <v>#DIV/0!</v>
      </c>
      <c r="FC20" t="e">
        <f t="shared" si="69"/>
        <v>#DIV/0!</v>
      </c>
      <c r="FD20" t="e">
        <f t="shared" si="70"/>
        <v>#DIV/0!</v>
      </c>
      <c r="FH20" s="73">
        <f t="shared" si="72"/>
        <v>1.1499999999999999</v>
      </c>
    </row>
    <row r="21" spans="1:164" x14ac:dyDescent="0.3">
      <c r="A21" s="1"/>
      <c r="B21" s="1">
        <f>'7.- UpDate'!D29</f>
        <v>0</v>
      </c>
      <c r="C21" s="1">
        <f>'7.- UpDate'!E29</f>
        <v>0</v>
      </c>
      <c r="F21" s="1"/>
      <c r="G21" s="38">
        <f>'7.- UpDate'!H20</f>
        <v>0</v>
      </c>
      <c r="V21" s="116" t="s">
        <v>221</v>
      </c>
      <c r="X21">
        <v>30000</v>
      </c>
      <c r="Z21">
        <v>400</v>
      </c>
      <c r="AA21">
        <v>20</v>
      </c>
      <c r="AC21">
        <v>100</v>
      </c>
      <c r="AE21" s="52">
        <v>45717</v>
      </c>
      <c r="AU21" s="116" t="s">
        <v>222</v>
      </c>
      <c r="AW21" s="64">
        <f>45*1.25</f>
        <v>56.25</v>
      </c>
      <c r="AX21" s="116" t="s">
        <v>219</v>
      </c>
      <c r="CJ21" t="str">
        <f>IFERROR(CL7/'1.GeneralesEmpresa'!G14,"-")</f>
        <v>-</v>
      </c>
      <c r="CV21" s="116" t="s">
        <v>100</v>
      </c>
      <c r="CW21">
        <v>2.93071E-4</v>
      </c>
      <c r="CX21" s="116" t="s">
        <v>132</v>
      </c>
      <c r="DC21" t="str">
        <f>IF('4.Ident.Princip.Consumos'!M22="Monofásico","Monofásico","Trifásico")</f>
        <v>Monofásico</v>
      </c>
      <c r="DD21" s="84" t="str">
        <f>IF('4.Ident.Princip.Consumos'!J22="","-",'4.Ident.Princip.Consumos'!J22)</f>
        <v>-</v>
      </c>
      <c r="DE21" s="84" t="str">
        <f>IF('4.Ident.Princip.Consumos'!K22="","-",'4.Ident.Princip.Consumos'!K22)</f>
        <v>-</v>
      </c>
      <c r="DF21" s="84" t="str">
        <f>IF('4.Ident.Princip.Consumos'!L22="","-",'4.Ident.Princip.Consumos'!L22)</f>
        <v>-</v>
      </c>
      <c r="DG21" t="e">
        <f t="shared" si="40"/>
        <v>#DIV/0!</v>
      </c>
      <c r="DH21" t="str">
        <f t="shared" si="41"/>
        <v>Monofásico</v>
      </c>
      <c r="DI21" t="e">
        <f>('4.Ident.Princip.Consumos'!I22*Hoja1!DG21*'4.Ident.Princip.Consumos'!$E$30*1.732)/1000</f>
        <v>#DIV/0!</v>
      </c>
      <c r="DJ21" t="e">
        <f>('4.Ident.Princip.Consumos'!I22*Hoja1!DD21*'4.Ident.Princip.Consumos'!$E$30)/1000</f>
        <v>#VALUE!</v>
      </c>
      <c r="DK21" s="3" t="e">
        <f t="shared" si="42"/>
        <v>#VALUE!</v>
      </c>
      <c r="DL21" t="e">
        <f>(CS43*CU43)/'4.Ident.Princip.Consumos'!$E$31</f>
        <v>#VALUE!</v>
      </c>
      <c r="DM21" s="72" t="e">
        <f t="shared" si="43"/>
        <v>#VALUE!</v>
      </c>
      <c r="DN21" s="3" t="e">
        <f>DL21/('4.Ident.Princip.Consumos'!$E$30*'4.Ident.Princip.Consumos'!I22*1.732)*1000</f>
        <v>#VALUE!</v>
      </c>
      <c r="DO21" s="3" t="e">
        <f>DL21/('4.Ident.Princip.Consumos'!$E$30*'4.Ident.Princip.Consumos'!I22)*1000</f>
        <v>#VALUE!</v>
      </c>
      <c r="DP21" s="3" t="e">
        <f t="shared" si="44"/>
        <v>#VALUE!</v>
      </c>
      <c r="DQ21" t="e">
        <f>DN21*'4.Ident.Princip.Consumos'!I22*0.8*1.732/1000</f>
        <v>#VALUE!</v>
      </c>
      <c r="DR21" s="72" t="str">
        <f t="shared" si="4"/>
        <v>-</v>
      </c>
      <c r="DS21" s="72" t="str">
        <f t="shared" si="4"/>
        <v>-</v>
      </c>
      <c r="DT21" s="72" t="str">
        <f t="shared" si="4"/>
        <v>-</v>
      </c>
      <c r="DU21" s="72" t="str">
        <f t="shared" si="45"/>
        <v>-</v>
      </c>
      <c r="DV21" s="72" t="str">
        <f t="shared" si="46"/>
        <v>-</v>
      </c>
      <c r="DW21" s="72" t="str">
        <f t="shared" si="47"/>
        <v>-</v>
      </c>
      <c r="DX21" s="72" t="str">
        <f t="shared" si="48"/>
        <v>-</v>
      </c>
      <c r="DY21" t="str">
        <f t="shared" si="49"/>
        <v>-</v>
      </c>
      <c r="DZ21" t="str">
        <f t="shared" si="50"/>
        <v>-</v>
      </c>
      <c r="EA21" s="72" t="str">
        <f t="shared" si="51"/>
        <v>-</v>
      </c>
      <c r="EB21" s="73" t="str">
        <f t="shared" si="52"/>
        <v>-</v>
      </c>
      <c r="EC21" s="73" t="str">
        <f t="shared" si="53"/>
        <v>-</v>
      </c>
      <c r="ED21" s="73" t="str">
        <f t="shared" si="54"/>
        <v>-</v>
      </c>
      <c r="EE21" s="73" t="str">
        <f t="shared" si="71"/>
        <v>-</v>
      </c>
      <c r="EF21" s="72" t="str">
        <f t="shared" si="55"/>
        <v>-</v>
      </c>
      <c r="EG21" s="72" t="str">
        <f t="shared" si="56"/>
        <v>-</v>
      </c>
      <c r="EH21" s="72" t="str">
        <f t="shared" si="57"/>
        <v>-</v>
      </c>
      <c r="EI21" s="72" t="str">
        <f t="shared" si="58"/>
        <v>-</v>
      </c>
      <c r="EJ21" s="7" t="str">
        <f t="shared" si="59"/>
        <v>-</v>
      </c>
      <c r="EK21" s="87" t="str">
        <f t="shared" si="60"/>
        <v>-</v>
      </c>
      <c r="EL21" s="87" t="str">
        <f t="shared" si="61"/>
        <v>-</v>
      </c>
      <c r="EM21" s="87" t="str">
        <f t="shared" si="62"/>
        <v>-</v>
      </c>
      <c r="EN21" s="88" t="str">
        <f t="shared" si="63"/>
        <v>-</v>
      </c>
      <c r="EQ21" s="73" t="e">
        <f t="shared" si="64"/>
        <v>#VALUE!</v>
      </c>
      <c r="ER21" t="e">
        <f t="shared" si="65"/>
        <v>#VALUE!</v>
      </c>
      <c r="ES21" t="e">
        <f t="shared" si="66"/>
        <v>#VALUE!</v>
      </c>
      <c r="ET21" t="e">
        <f t="shared" si="67"/>
        <v>#VALUE!</v>
      </c>
      <c r="EU21" s="11" t="str">
        <f t="shared" si="68"/>
        <v>-</v>
      </c>
      <c r="EX21">
        <f>'4.Ident.Princip.Consumos'!O22</f>
        <v>0</v>
      </c>
      <c r="EY21">
        <f>'4.Ident.Princip.Consumos'!P22</f>
        <v>0</v>
      </c>
      <c r="EZ21">
        <f>'4.Ident.Princip.Consumos'!Q22</f>
        <v>0</v>
      </c>
      <c r="FA21" t="e">
        <f>((((((EX21+EY21+EZ21)/3))*1.732*'4.Ident.Princip.Consumos'!I22*'4.Ident.Princip.Consumos'!$E$30)/1000)*'4.Ident.Princip.Consumos'!G22*4.34*12)*$AT$19</f>
        <v>#DIV/0!</v>
      </c>
      <c r="FB21" t="e">
        <f>(((EX21*'4.Ident.Princip.Consumos'!$E$30*'4.Ident.Princip.Consumos'!I22)/1000)*'4.Ident.Princip.Consumos'!G22*4.34*12)*$AT$19</f>
        <v>#DIV/0!</v>
      </c>
      <c r="FC21" t="e">
        <f t="shared" si="69"/>
        <v>#DIV/0!</v>
      </c>
      <c r="FD21" t="e">
        <f t="shared" si="70"/>
        <v>#DIV/0!</v>
      </c>
      <c r="FH21" s="73">
        <f>FH20</f>
        <v>1.1499999999999999</v>
      </c>
    </row>
    <row r="22" spans="1:164" x14ac:dyDescent="0.3">
      <c r="A22" s="117" t="s">
        <v>223</v>
      </c>
      <c r="B22" s="1" t="str">
        <f>'7.- UpDate'!D30</f>
        <v>BT4</v>
      </c>
      <c r="C22" s="1" t="str">
        <f>'7.- UpDate'!E30</f>
        <v>MT4</v>
      </c>
      <c r="F22" s="117" t="s">
        <v>224</v>
      </c>
      <c r="G22" s="38" t="str">
        <f>'7.- UpDate'!H21</f>
        <v>BT5B</v>
      </c>
      <c r="O22" s="527" t="s">
        <v>476</v>
      </c>
      <c r="P22" s="403"/>
      <c r="Q22" s="527" t="s">
        <v>477</v>
      </c>
      <c r="R22" s="403"/>
      <c r="V22" s="116" t="s">
        <v>225</v>
      </c>
      <c r="X22">
        <v>35000</v>
      </c>
      <c r="Z22">
        <v>500</v>
      </c>
      <c r="AA22">
        <v>21</v>
      </c>
      <c r="AC22">
        <v>105</v>
      </c>
      <c r="AE22" s="52">
        <v>45748</v>
      </c>
      <c r="CJ22" t="str">
        <f>IFERROR(CL8/'1.GeneralesEmpresa'!G15,"-")</f>
        <v>-</v>
      </c>
      <c r="CR22" s="116" t="s">
        <v>93</v>
      </c>
      <c r="CS22">
        <v>1</v>
      </c>
      <c r="CV22" s="116" t="s">
        <v>99</v>
      </c>
      <c r="CW22">
        <v>9.8094999999999999</v>
      </c>
      <c r="CX22" s="116" t="s">
        <v>132</v>
      </c>
      <c r="DC22" t="str">
        <f>IF('4.Ident.Princip.Consumos'!M23="Monofásico","Monofásico","Trifásico")</f>
        <v>Monofásico</v>
      </c>
      <c r="DD22" s="84" t="str">
        <f>IF('4.Ident.Princip.Consumos'!J23="","-",'4.Ident.Princip.Consumos'!J23)</f>
        <v>-</v>
      </c>
      <c r="DE22" s="84" t="str">
        <f>IF('4.Ident.Princip.Consumos'!K23="","-",'4.Ident.Princip.Consumos'!K23)</f>
        <v>-</v>
      </c>
      <c r="DF22" s="84" t="str">
        <f>IF('4.Ident.Princip.Consumos'!L23="","-",'4.Ident.Princip.Consumos'!L23)</f>
        <v>-</v>
      </c>
      <c r="DG22" t="e">
        <f t="shared" si="40"/>
        <v>#DIV/0!</v>
      </c>
      <c r="DH22" t="str">
        <f t="shared" si="41"/>
        <v>Monofásico</v>
      </c>
      <c r="DI22" t="e">
        <f>('4.Ident.Princip.Consumos'!I23*Hoja1!DG22*'4.Ident.Princip.Consumos'!$E$30*1.732)/1000</f>
        <v>#DIV/0!</v>
      </c>
      <c r="DJ22" t="e">
        <f>('4.Ident.Princip.Consumos'!I23*Hoja1!DD22*'4.Ident.Princip.Consumos'!$E$30)/1000</f>
        <v>#VALUE!</v>
      </c>
      <c r="DK22" s="3" t="e">
        <f t="shared" si="42"/>
        <v>#VALUE!</v>
      </c>
      <c r="DL22" t="e">
        <f>(CS44*CU44)/'4.Ident.Princip.Consumos'!$E$31</f>
        <v>#VALUE!</v>
      </c>
      <c r="DM22" s="72" t="e">
        <f t="shared" si="43"/>
        <v>#VALUE!</v>
      </c>
      <c r="DN22" s="3" t="e">
        <f>DL22/('4.Ident.Princip.Consumos'!$E$30*'4.Ident.Princip.Consumos'!I23*1.732)*1000</f>
        <v>#VALUE!</v>
      </c>
      <c r="DO22" s="3" t="e">
        <f>DL22/('4.Ident.Princip.Consumos'!$E$30*'4.Ident.Princip.Consumos'!I23)*1000</f>
        <v>#VALUE!</v>
      </c>
      <c r="DP22" s="3" t="e">
        <f t="shared" si="44"/>
        <v>#VALUE!</v>
      </c>
      <c r="DQ22" t="e">
        <f>DN22*'4.Ident.Princip.Consumos'!I23*0.8*1.732/1000</f>
        <v>#VALUE!</v>
      </c>
      <c r="DR22" s="72" t="str">
        <f t="shared" ref="DR22:DT28" si="83">IFERROR((DD22/$DP22),"-")</f>
        <v>-</v>
      </c>
      <c r="DS22" s="72" t="str">
        <f t="shared" si="83"/>
        <v>-</v>
      </c>
      <c r="DT22" s="72" t="str">
        <f t="shared" si="83"/>
        <v>-</v>
      </c>
      <c r="DU22" s="72" t="str">
        <f t="shared" si="45"/>
        <v>-</v>
      </c>
      <c r="DV22" s="72" t="str">
        <f t="shared" si="46"/>
        <v>-</v>
      </c>
      <c r="DW22" s="72" t="str">
        <f t="shared" si="47"/>
        <v>-</v>
      </c>
      <c r="DX22" s="72" t="str">
        <f t="shared" si="48"/>
        <v>-</v>
      </c>
      <c r="DY22" t="str">
        <f t="shared" si="49"/>
        <v>-</v>
      </c>
      <c r="DZ22" t="str">
        <f t="shared" si="50"/>
        <v>-</v>
      </c>
      <c r="EA22" s="72" t="str">
        <f t="shared" si="51"/>
        <v>-</v>
      </c>
      <c r="EB22" s="73" t="str">
        <f t="shared" si="52"/>
        <v>-</v>
      </c>
      <c r="EC22" s="73" t="str">
        <f t="shared" si="53"/>
        <v>-</v>
      </c>
      <c r="ED22" s="73" t="str">
        <f t="shared" si="54"/>
        <v>-</v>
      </c>
      <c r="EE22" s="73" t="str">
        <f t="shared" si="71"/>
        <v>-</v>
      </c>
      <c r="EF22" s="72" t="str">
        <f t="shared" si="55"/>
        <v>-</v>
      </c>
      <c r="EG22" s="72" t="str">
        <f t="shared" si="56"/>
        <v>-</v>
      </c>
      <c r="EH22" s="72" t="str">
        <f t="shared" si="57"/>
        <v>-</v>
      </c>
      <c r="EI22" s="72" t="str">
        <f t="shared" si="58"/>
        <v>-</v>
      </c>
      <c r="EJ22" s="7" t="str">
        <f t="shared" si="59"/>
        <v>-</v>
      </c>
      <c r="EK22" s="87" t="str">
        <f t="shared" si="60"/>
        <v>-</v>
      </c>
      <c r="EL22" s="87" t="str">
        <f t="shared" si="61"/>
        <v>-</v>
      </c>
      <c r="EM22" s="87" t="str">
        <f t="shared" si="62"/>
        <v>-</v>
      </c>
      <c r="EN22" s="88" t="str">
        <f t="shared" si="63"/>
        <v>-</v>
      </c>
      <c r="EQ22" s="73" t="e">
        <f t="shared" si="64"/>
        <v>#VALUE!</v>
      </c>
      <c r="ER22" t="e">
        <f t="shared" si="65"/>
        <v>#VALUE!</v>
      </c>
      <c r="ES22" t="e">
        <f t="shared" si="66"/>
        <v>#VALUE!</v>
      </c>
      <c r="ET22" t="e">
        <f t="shared" si="67"/>
        <v>#VALUE!</v>
      </c>
      <c r="EU22" s="11" t="str">
        <f t="shared" si="68"/>
        <v>-</v>
      </c>
      <c r="EX22">
        <f>'4.Ident.Princip.Consumos'!O23</f>
        <v>0</v>
      </c>
      <c r="EY22">
        <f>'4.Ident.Princip.Consumos'!P23</f>
        <v>0</v>
      </c>
      <c r="EZ22">
        <f>'4.Ident.Princip.Consumos'!Q23</f>
        <v>0</v>
      </c>
      <c r="FA22" t="e">
        <f>((((((EX22+EY22+EZ22)/3))*1.732*'4.Ident.Princip.Consumos'!I23*'4.Ident.Princip.Consumos'!$E$30)/1000)*'4.Ident.Princip.Consumos'!G23*4.34*12)*$AT$19</f>
        <v>#DIV/0!</v>
      </c>
      <c r="FB22" t="e">
        <f>(((EX22*'4.Ident.Princip.Consumos'!$E$30*'4.Ident.Princip.Consumos'!I23)/1000)*'4.Ident.Princip.Consumos'!G23*4.34*12)*$AT$19</f>
        <v>#DIV/0!</v>
      </c>
      <c r="FC22" t="e">
        <f t="shared" si="69"/>
        <v>#DIV/0!</v>
      </c>
      <c r="FD22" t="e">
        <f t="shared" si="70"/>
        <v>#DIV/0!</v>
      </c>
      <c r="FH22" s="73">
        <f t="shared" si="72"/>
        <v>1.1499999999999999</v>
      </c>
    </row>
    <row r="23" spans="1:164" x14ac:dyDescent="0.3">
      <c r="A23" s="36" t="s">
        <v>122</v>
      </c>
      <c r="B23" s="1">
        <f>'7.- UpDate'!D31</f>
        <v>9.48</v>
      </c>
      <c r="C23" s="1">
        <f>'7.- UpDate'!E31</f>
        <v>9.48</v>
      </c>
      <c r="F23" s="36" t="s">
        <v>122</v>
      </c>
      <c r="G23" s="38">
        <f>'7.- UpDate'!H22</f>
        <v>3.69</v>
      </c>
      <c r="O23" s="305" t="s">
        <v>474</v>
      </c>
      <c r="P23" s="306" t="s">
        <v>475</v>
      </c>
      <c r="Q23" s="305" t="s">
        <v>474</v>
      </c>
      <c r="R23" s="306" t="s">
        <v>475</v>
      </c>
      <c r="V23" s="116" t="s">
        <v>226</v>
      </c>
      <c r="X23">
        <v>40000</v>
      </c>
      <c r="Z23">
        <v>600</v>
      </c>
      <c r="AA23">
        <v>22</v>
      </c>
      <c r="AC23">
        <v>110</v>
      </c>
      <c r="AE23" s="52">
        <v>45778</v>
      </c>
      <c r="AU23" s="116" t="s">
        <v>227</v>
      </c>
      <c r="AV23" s="65">
        <f>1000000/28</f>
        <v>35714.285714285717</v>
      </c>
      <c r="AW23" s="116" t="s">
        <v>100</v>
      </c>
      <c r="AY23" s="116" t="s">
        <v>228</v>
      </c>
      <c r="CJ23" t="str">
        <f>IFERROR(CL9/'1.GeneralesEmpresa'!G16,"-")</f>
        <v>-</v>
      </c>
      <c r="CM23" t="e">
        <f>CS28*CU28</f>
        <v>#VALUE!</v>
      </c>
      <c r="CR23" s="116" t="s">
        <v>92</v>
      </c>
      <c r="CS23">
        <v>0.74570000000000003</v>
      </c>
      <c r="CV23" s="116" t="s">
        <v>94</v>
      </c>
      <c r="CW23">
        <v>0.74570000000000003</v>
      </c>
      <c r="CX23" s="116" t="s">
        <v>132</v>
      </c>
      <c r="DC23" t="str">
        <f>IF('4.Ident.Princip.Consumos'!M24="Monofásico","Monofásico","Trifásico")</f>
        <v>Monofásico</v>
      </c>
      <c r="DD23" s="84" t="str">
        <f>IF('4.Ident.Princip.Consumos'!J24="","-",'4.Ident.Princip.Consumos'!J24)</f>
        <v>-</v>
      </c>
      <c r="DE23" s="84" t="str">
        <f>IF('4.Ident.Princip.Consumos'!K24="","-",'4.Ident.Princip.Consumos'!K24)</f>
        <v>-</v>
      </c>
      <c r="DF23" s="84" t="str">
        <f>IF('4.Ident.Princip.Consumos'!L24="","-",'4.Ident.Princip.Consumos'!L24)</f>
        <v>-</v>
      </c>
      <c r="DG23" t="e">
        <f t="shared" si="40"/>
        <v>#DIV/0!</v>
      </c>
      <c r="DH23" t="str">
        <f t="shared" si="41"/>
        <v>Monofásico</v>
      </c>
      <c r="DI23" t="e">
        <f>('4.Ident.Princip.Consumos'!I24*Hoja1!DG23*'4.Ident.Princip.Consumos'!$E$30*1.732)/1000</f>
        <v>#DIV/0!</v>
      </c>
      <c r="DJ23" t="e">
        <f>('4.Ident.Princip.Consumos'!I24*Hoja1!DD23*'4.Ident.Princip.Consumos'!$E$30)/1000</f>
        <v>#VALUE!</v>
      </c>
      <c r="DK23" s="3" t="e">
        <f t="shared" si="42"/>
        <v>#VALUE!</v>
      </c>
      <c r="DL23" t="e">
        <f>(CS45*CU45)/'4.Ident.Princip.Consumos'!$E$31</f>
        <v>#VALUE!</v>
      </c>
      <c r="DM23" s="72" t="e">
        <f t="shared" si="43"/>
        <v>#VALUE!</v>
      </c>
      <c r="DN23" s="3" t="e">
        <f>DL23/('4.Ident.Princip.Consumos'!$E$30*'4.Ident.Princip.Consumos'!I24*1.732)*1000</f>
        <v>#VALUE!</v>
      </c>
      <c r="DO23" s="3" t="e">
        <f>DL23/('4.Ident.Princip.Consumos'!$E$30*'4.Ident.Princip.Consumos'!I24)*1000</f>
        <v>#VALUE!</v>
      </c>
      <c r="DP23" s="3" t="e">
        <f t="shared" si="44"/>
        <v>#VALUE!</v>
      </c>
      <c r="DQ23" t="e">
        <f>DN23*'4.Ident.Princip.Consumos'!I24*0.8*1.732/1000</f>
        <v>#VALUE!</v>
      </c>
      <c r="DR23" s="72" t="str">
        <f t="shared" si="83"/>
        <v>-</v>
      </c>
      <c r="DS23" s="72" t="str">
        <f t="shared" si="83"/>
        <v>-</v>
      </c>
      <c r="DT23" s="72" t="str">
        <f t="shared" si="83"/>
        <v>-</v>
      </c>
      <c r="DU23" s="72" t="str">
        <f t="shared" si="45"/>
        <v>-</v>
      </c>
      <c r="DV23" s="72" t="str">
        <f t="shared" si="46"/>
        <v>-</v>
      </c>
      <c r="DW23" s="72" t="str">
        <f t="shared" si="47"/>
        <v>-</v>
      </c>
      <c r="DX23" s="72" t="str">
        <f t="shared" si="48"/>
        <v>-</v>
      </c>
      <c r="DY23" t="str">
        <f t="shared" si="49"/>
        <v>-</v>
      </c>
      <c r="DZ23" t="str">
        <f t="shared" si="50"/>
        <v>-</v>
      </c>
      <c r="EA23" s="72" t="str">
        <f t="shared" si="51"/>
        <v>-</v>
      </c>
      <c r="EB23" s="73" t="str">
        <f t="shared" si="52"/>
        <v>-</v>
      </c>
      <c r="EC23" s="73" t="str">
        <f t="shared" si="53"/>
        <v>-</v>
      </c>
      <c r="ED23" s="73" t="str">
        <f t="shared" si="54"/>
        <v>-</v>
      </c>
      <c r="EE23" s="73" t="str">
        <f t="shared" si="71"/>
        <v>-</v>
      </c>
      <c r="EF23" s="72" t="str">
        <f t="shared" si="55"/>
        <v>-</v>
      </c>
      <c r="EG23" s="72" t="str">
        <f t="shared" si="56"/>
        <v>-</v>
      </c>
      <c r="EH23" s="72" t="str">
        <f t="shared" si="57"/>
        <v>-</v>
      </c>
      <c r="EI23" s="72" t="str">
        <f t="shared" si="58"/>
        <v>-</v>
      </c>
      <c r="EJ23" s="7" t="str">
        <f t="shared" si="59"/>
        <v>-</v>
      </c>
      <c r="EK23" s="87" t="str">
        <f t="shared" si="60"/>
        <v>-</v>
      </c>
      <c r="EL23" s="87" t="str">
        <f t="shared" si="61"/>
        <v>-</v>
      </c>
      <c r="EM23" s="87" t="str">
        <f t="shared" si="62"/>
        <v>-</v>
      </c>
      <c r="EN23" s="88" t="str">
        <f t="shared" si="63"/>
        <v>-</v>
      </c>
      <c r="EQ23" s="73" t="e">
        <f t="shared" si="64"/>
        <v>#VALUE!</v>
      </c>
      <c r="ER23" t="e">
        <f t="shared" si="65"/>
        <v>#VALUE!</v>
      </c>
      <c r="ES23" t="e">
        <f t="shared" si="66"/>
        <v>#VALUE!</v>
      </c>
      <c r="ET23" t="e">
        <f t="shared" si="67"/>
        <v>#VALUE!</v>
      </c>
      <c r="EU23" s="11" t="str">
        <f t="shared" si="68"/>
        <v>-</v>
      </c>
      <c r="EX23">
        <f>'4.Ident.Princip.Consumos'!O24</f>
        <v>0</v>
      </c>
      <c r="EY23">
        <f>'4.Ident.Princip.Consumos'!P24</f>
        <v>0</v>
      </c>
      <c r="EZ23">
        <f>'4.Ident.Princip.Consumos'!Q24</f>
        <v>0</v>
      </c>
      <c r="FA23" t="e">
        <f>((((((EX23+EY23+EZ23)/3))*1.732*'4.Ident.Princip.Consumos'!I24*'4.Ident.Princip.Consumos'!$E$30)/1000)*'4.Ident.Princip.Consumos'!G24*4.34*12)*$AT$19</f>
        <v>#DIV/0!</v>
      </c>
      <c r="FB23" t="e">
        <f>(((EX23*'4.Ident.Princip.Consumos'!$E$30*'4.Ident.Princip.Consumos'!I24)/1000)*'4.Ident.Princip.Consumos'!G24*4.34*12)*$AT$19</f>
        <v>#DIV/0!</v>
      </c>
      <c r="FC23" t="e">
        <f t="shared" si="69"/>
        <v>#DIV/0!</v>
      </c>
      <c r="FD23" t="e">
        <f t="shared" si="70"/>
        <v>#DIV/0!</v>
      </c>
      <c r="FH23" s="73">
        <f t="shared" si="72"/>
        <v>1.1499999999999999</v>
      </c>
    </row>
    <row r="24" spans="1:164" x14ac:dyDescent="0.3">
      <c r="A24" s="37" t="s">
        <v>229</v>
      </c>
      <c r="B24" s="1">
        <f>'7.- UpDate'!D32</f>
        <v>0.31519999999999998</v>
      </c>
      <c r="C24" s="1">
        <f>'7.- UpDate'!E32</f>
        <v>0.29099999999999998</v>
      </c>
      <c r="F24" s="1" t="s">
        <v>230</v>
      </c>
      <c r="G24" s="38">
        <f>'7.- UpDate'!H23</f>
        <v>0</v>
      </c>
      <c r="K24" s="186" t="s">
        <v>119</v>
      </c>
      <c r="L24">
        <f>B59</f>
        <v>4.82E-2</v>
      </c>
      <c r="N24" s="186" t="s">
        <v>119</v>
      </c>
      <c r="O24" s="129">
        <f>B55</f>
        <v>0.30120000000000002</v>
      </c>
      <c r="P24" s="307">
        <f>B58</f>
        <v>64.09</v>
      </c>
      <c r="Q24" s="129">
        <f>$AQ$19</f>
        <v>0</v>
      </c>
      <c r="R24" s="307" t="e">
        <f>'Tarifa MTBT'!C27</f>
        <v>#NUM!</v>
      </c>
      <c r="V24" s="116" t="s">
        <v>231</v>
      </c>
      <c r="X24">
        <v>45000</v>
      </c>
      <c r="Z24">
        <v>700</v>
      </c>
      <c r="AA24">
        <v>23</v>
      </c>
      <c r="AC24">
        <v>115</v>
      </c>
      <c r="AE24" s="52">
        <v>45809</v>
      </c>
      <c r="AU24" s="116" t="s">
        <v>232</v>
      </c>
      <c r="AV24" s="66">
        <v>140000</v>
      </c>
      <c r="AW24" s="116" t="s">
        <v>100</v>
      </c>
      <c r="CJ24" t="str">
        <f>IFERROR(CL10/'1.GeneralesEmpresa'!G17,"-")</f>
        <v>-</v>
      </c>
      <c r="CR24" s="116" t="s">
        <v>94</v>
      </c>
      <c r="CS24">
        <v>0.73550000000000004</v>
      </c>
      <c r="CV24" s="116" t="s">
        <v>92</v>
      </c>
      <c r="CW24">
        <v>0.74570000000000003</v>
      </c>
      <c r="CX24" s="116" t="s">
        <v>132</v>
      </c>
      <c r="DC24" t="str">
        <f>IF('4.Ident.Princip.Consumos'!M25="Monofásico","Monofásico","Trifásico")</f>
        <v>Monofásico</v>
      </c>
      <c r="DD24" s="84" t="str">
        <f>IF('4.Ident.Princip.Consumos'!J25="","-",'4.Ident.Princip.Consumos'!J25)</f>
        <v>-</v>
      </c>
      <c r="DE24" s="84" t="str">
        <f>IF('4.Ident.Princip.Consumos'!K25="","-",'4.Ident.Princip.Consumos'!K25)</f>
        <v>-</v>
      </c>
      <c r="DF24" s="84" t="str">
        <f>IF('4.Ident.Princip.Consumos'!L25="","-",'4.Ident.Princip.Consumos'!L25)</f>
        <v>-</v>
      </c>
      <c r="DG24" t="e">
        <f t="shared" si="40"/>
        <v>#DIV/0!</v>
      </c>
      <c r="DH24" t="str">
        <f t="shared" si="41"/>
        <v>Monofásico</v>
      </c>
      <c r="DI24" t="e">
        <f>('4.Ident.Princip.Consumos'!I25*Hoja1!DG24*'4.Ident.Princip.Consumos'!$E$30*1.732)/1000</f>
        <v>#DIV/0!</v>
      </c>
      <c r="DJ24" t="e">
        <f>('4.Ident.Princip.Consumos'!I25*Hoja1!DD24*'4.Ident.Princip.Consumos'!$E$30)/1000</f>
        <v>#VALUE!</v>
      </c>
      <c r="DK24" s="3" t="e">
        <f t="shared" si="42"/>
        <v>#VALUE!</v>
      </c>
      <c r="DL24" t="e">
        <f>(CS46*CU46)/'4.Ident.Princip.Consumos'!$E$31</f>
        <v>#VALUE!</v>
      </c>
      <c r="DM24" s="72" t="e">
        <f t="shared" si="43"/>
        <v>#VALUE!</v>
      </c>
      <c r="DN24" s="3" t="e">
        <f>DL24/('4.Ident.Princip.Consumos'!$E$30*'4.Ident.Princip.Consumos'!I25*1.732)*1000</f>
        <v>#VALUE!</v>
      </c>
      <c r="DO24" s="3" t="e">
        <f>DL24/('4.Ident.Princip.Consumos'!$E$30*'4.Ident.Princip.Consumos'!I25)*1000</f>
        <v>#VALUE!</v>
      </c>
      <c r="DP24" s="3" t="e">
        <f t="shared" si="44"/>
        <v>#VALUE!</v>
      </c>
      <c r="DQ24" t="e">
        <f>DN24*'4.Ident.Princip.Consumos'!I25*0.8*1.732/1000</f>
        <v>#VALUE!</v>
      </c>
      <c r="DR24" s="72" t="str">
        <f t="shared" si="83"/>
        <v>-</v>
      </c>
      <c r="DS24" s="72" t="str">
        <f t="shared" si="83"/>
        <v>-</v>
      </c>
      <c r="DT24" s="72" t="str">
        <f t="shared" si="83"/>
        <v>-</v>
      </c>
      <c r="DU24" s="72" t="str">
        <f t="shared" si="45"/>
        <v>-</v>
      </c>
      <c r="DV24" s="72" t="str">
        <f t="shared" si="46"/>
        <v>-</v>
      </c>
      <c r="DW24" s="72" t="str">
        <f t="shared" si="47"/>
        <v>-</v>
      </c>
      <c r="DX24" s="72" t="str">
        <f t="shared" si="48"/>
        <v>-</v>
      </c>
      <c r="DY24" t="str">
        <f t="shared" si="49"/>
        <v>-</v>
      </c>
      <c r="DZ24" t="str">
        <f t="shared" si="50"/>
        <v>-</v>
      </c>
      <c r="EA24" s="72" t="str">
        <f t="shared" si="51"/>
        <v>-</v>
      </c>
      <c r="EB24" s="73" t="str">
        <f t="shared" si="52"/>
        <v>-</v>
      </c>
      <c r="EC24" s="73" t="str">
        <f t="shared" si="53"/>
        <v>-</v>
      </c>
      <c r="ED24" s="73" t="str">
        <f t="shared" si="54"/>
        <v>-</v>
      </c>
      <c r="EE24" s="73" t="str">
        <f t="shared" si="71"/>
        <v>-</v>
      </c>
      <c r="EF24" s="72" t="str">
        <f t="shared" si="55"/>
        <v>-</v>
      </c>
      <c r="EG24" s="72" t="str">
        <f t="shared" si="56"/>
        <v>-</v>
      </c>
      <c r="EH24" s="72" t="str">
        <f t="shared" si="57"/>
        <v>-</v>
      </c>
      <c r="EI24" s="72" t="str">
        <f t="shared" si="58"/>
        <v>-</v>
      </c>
      <c r="EJ24" s="7" t="str">
        <f t="shared" si="59"/>
        <v>-</v>
      </c>
      <c r="EK24" s="87" t="str">
        <f t="shared" si="60"/>
        <v>-</v>
      </c>
      <c r="EL24" s="87" t="str">
        <f t="shared" si="61"/>
        <v>-</v>
      </c>
      <c r="EM24" s="87" t="str">
        <f t="shared" si="62"/>
        <v>-</v>
      </c>
      <c r="EN24" s="88" t="str">
        <f t="shared" si="63"/>
        <v>-</v>
      </c>
      <c r="EQ24" s="73" t="e">
        <f t="shared" si="64"/>
        <v>#VALUE!</v>
      </c>
      <c r="ER24" t="e">
        <f t="shared" si="65"/>
        <v>#VALUE!</v>
      </c>
      <c r="ES24" t="e">
        <f t="shared" si="66"/>
        <v>#VALUE!</v>
      </c>
      <c r="ET24" t="e">
        <f t="shared" si="67"/>
        <v>#VALUE!</v>
      </c>
      <c r="EU24" s="11" t="str">
        <f t="shared" si="68"/>
        <v>-</v>
      </c>
      <c r="EX24">
        <f>'4.Ident.Princip.Consumos'!O25</f>
        <v>0</v>
      </c>
      <c r="EY24">
        <f>'4.Ident.Princip.Consumos'!P25</f>
        <v>0</v>
      </c>
      <c r="EZ24">
        <f>'4.Ident.Princip.Consumos'!Q25</f>
        <v>0</v>
      </c>
      <c r="FA24" t="e">
        <f>((((((EX24+EY24+EZ24)/3))*1.732*'4.Ident.Princip.Consumos'!I25*'4.Ident.Princip.Consumos'!$E$30)/1000)*'4.Ident.Princip.Consumos'!G25*4.34*12)*$AT$19</f>
        <v>#DIV/0!</v>
      </c>
      <c r="FB24" t="e">
        <f>(((EX24*'4.Ident.Princip.Consumos'!$E$30*'4.Ident.Princip.Consumos'!I25)/1000)*'4.Ident.Princip.Consumos'!G25*4.34*12)*$AT$19</f>
        <v>#DIV/0!</v>
      </c>
      <c r="FC24" t="e">
        <f t="shared" si="69"/>
        <v>#DIV/0!</v>
      </c>
      <c r="FD24" t="e">
        <f t="shared" si="70"/>
        <v>#DIV/0!</v>
      </c>
      <c r="FH24" s="73">
        <f t="shared" si="72"/>
        <v>1.1499999999999999</v>
      </c>
    </row>
    <row r="25" spans="1:164" ht="20" x14ac:dyDescent="0.3">
      <c r="A25" s="36" t="s">
        <v>204</v>
      </c>
      <c r="B25" s="1">
        <f>'7.- UpDate'!D33</f>
        <v>0</v>
      </c>
      <c r="C25" s="1">
        <f>'7.- UpDate'!E33</f>
        <v>0</v>
      </c>
      <c r="F25" s="1" t="s">
        <v>233</v>
      </c>
      <c r="G25" s="38">
        <f>'7.- UpDate'!H24</f>
        <v>0</v>
      </c>
      <c r="K25" s="186" t="s">
        <v>129</v>
      </c>
      <c r="L25">
        <f>B71</f>
        <v>4.82E-2</v>
      </c>
      <c r="N25" s="186" t="s">
        <v>129</v>
      </c>
      <c r="O25" s="129">
        <f>B64</f>
        <v>0.30120000000000002</v>
      </c>
      <c r="P25" s="307" t="e">
        <f>'Tarifa MTBT'!J33</f>
        <v>#NUM!</v>
      </c>
      <c r="Q25" s="129">
        <f t="shared" ref="Q25:Q32" si="84">$AQ$19</f>
        <v>0</v>
      </c>
      <c r="R25" s="307" t="e">
        <f>'Tarifa MTBT'!I27</f>
        <v>#NUM!</v>
      </c>
      <c r="V25" s="116" t="s">
        <v>234</v>
      </c>
      <c r="X25">
        <v>50000</v>
      </c>
      <c r="Z25">
        <v>800</v>
      </c>
      <c r="AA25">
        <v>24</v>
      </c>
      <c r="AC25">
        <v>120</v>
      </c>
      <c r="AE25" s="52">
        <v>45839</v>
      </c>
      <c r="AU25" s="116" t="s">
        <v>235</v>
      </c>
      <c r="AW25" s="65">
        <v>95663.182000000001</v>
      </c>
      <c r="AX25" s="116" t="s">
        <v>100</v>
      </c>
      <c r="CJ25" t="str">
        <f>IFERROR(CL11/'1.GeneralesEmpresa'!G18,"-")</f>
        <v>-</v>
      </c>
      <c r="CV25" s="116" t="s">
        <v>93</v>
      </c>
      <c r="CW25">
        <v>1</v>
      </c>
      <c r="CX25" s="116" t="s">
        <v>132</v>
      </c>
      <c r="CY25" s="116" t="s">
        <v>241</v>
      </c>
      <c r="DC25" t="str">
        <f>IF('4.Ident.Princip.Consumos'!M26="Monofásico","Monofásico","Trifásico")</f>
        <v>Monofásico</v>
      </c>
      <c r="DD25" s="84" t="str">
        <f>IF('4.Ident.Princip.Consumos'!J26="","-",'4.Ident.Princip.Consumos'!J26)</f>
        <v>-</v>
      </c>
      <c r="DE25" s="84" t="str">
        <f>IF('4.Ident.Princip.Consumos'!K26="","-",'4.Ident.Princip.Consumos'!K26)</f>
        <v>-</v>
      </c>
      <c r="DF25" s="84" t="str">
        <f>IF('4.Ident.Princip.Consumos'!L26="","-",'4.Ident.Princip.Consumos'!L26)</f>
        <v>-</v>
      </c>
      <c r="DG25" t="e">
        <f t="shared" si="40"/>
        <v>#DIV/0!</v>
      </c>
      <c r="DH25" t="str">
        <f t="shared" si="41"/>
        <v>Monofásico</v>
      </c>
      <c r="DI25" t="e">
        <f>('4.Ident.Princip.Consumos'!I26*Hoja1!DG25*'4.Ident.Princip.Consumos'!$E$30*1.732)/1000</f>
        <v>#DIV/0!</v>
      </c>
      <c r="DJ25" t="e">
        <f>('4.Ident.Princip.Consumos'!I26*Hoja1!DD25*'4.Ident.Princip.Consumos'!$E$30)/1000</f>
        <v>#VALUE!</v>
      </c>
      <c r="DK25" s="3" t="e">
        <f t="shared" si="42"/>
        <v>#VALUE!</v>
      </c>
      <c r="DL25" t="e">
        <f>(CS47*CU47)/'4.Ident.Princip.Consumos'!$E$31</f>
        <v>#VALUE!</v>
      </c>
      <c r="DM25" s="72" t="e">
        <f t="shared" si="43"/>
        <v>#VALUE!</v>
      </c>
      <c r="DN25" s="3" t="e">
        <f>DL25/('4.Ident.Princip.Consumos'!$E$30*'4.Ident.Princip.Consumos'!I26*1.732)*1000</f>
        <v>#VALUE!</v>
      </c>
      <c r="DO25" s="3" t="e">
        <f>DL25/('4.Ident.Princip.Consumos'!$E$30*'4.Ident.Princip.Consumos'!I26)*1000</f>
        <v>#VALUE!</v>
      </c>
      <c r="DP25" s="3" t="e">
        <f t="shared" si="44"/>
        <v>#VALUE!</v>
      </c>
      <c r="DQ25" t="e">
        <f>DN25*'4.Ident.Princip.Consumos'!I26*0.8*1.732/1000</f>
        <v>#VALUE!</v>
      </c>
      <c r="DR25" s="72" t="str">
        <f t="shared" si="83"/>
        <v>-</v>
      </c>
      <c r="DS25" s="72" t="str">
        <f t="shared" si="83"/>
        <v>-</v>
      </c>
      <c r="DT25" s="72" t="str">
        <f t="shared" si="83"/>
        <v>-</v>
      </c>
      <c r="DU25" s="72" t="str">
        <f t="shared" si="45"/>
        <v>-</v>
      </c>
      <c r="DV25" s="72" t="str">
        <f t="shared" si="46"/>
        <v>-</v>
      </c>
      <c r="DW25" s="72" t="str">
        <f t="shared" si="47"/>
        <v>-</v>
      </c>
      <c r="DX25" s="72" t="str">
        <f t="shared" si="48"/>
        <v>-</v>
      </c>
      <c r="DY25" t="str">
        <f t="shared" si="49"/>
        <v>-</v>
      </c>
      <c r="DZ25" t="str">
        <f t="shared" si="50"/>
        <v>-</v>
      </c>
      <c r="EA25" s="72" t="str">
        <f t="shared" si="51"/>
        <v>-</v>
      </c>
      <c r="EB25" s="73" t="str">
        <f t="shared" si="52"/>
        <v>-</v>
      </c>
      <c r="EC25" s="73" t="str">
        <f t="shared" si="53"/>
        <v>-</v>
      </c>
      <c r="ED25" s="73" t="str">
        <f t="shared" si="54"/>
        <v>-</v>
      </c>
      <c r="EE25" s="73" t="str">
        <f t="shared" si="71"/>
        <v>-</v>
      </c>
      <c r="EF25" s="72" t="str">
        <f t="shared" si="55"/>
        <v>-</v>
      </c>
      <c r="EG25" s="72" t="str">
        <f t="shared" si="56"/>
        <v>-</v>
      </c>
      <c r="EH25" s="72" t="str">
        <f t="shared" si="57"/>
        <v>-</v>
      </c>
      <c r="EI25" s="72" t="str">
        <f t="shared" si="58"/>
        <v>-</v>
      </c>
      <c r="EJ25" s="7" t="str">
        <f t="shared" si="59"/>
        <v>-</v>
      </c>
      <c r="EK25" s="87" t="str">
        <f t="shared" si="60"/>
        <v>-</v>
      </c>
      <c r="EL25" s="87" t="str">
        <f t="shared" si="61"/>
        <v>-</v>
      </c>
      <c r="EM25" s="87" t="str">
        <f t="shared" si="62"/>
        <v>-</v>
      </c>
      <c r="EN25" s="88" t="str">
        <f t="shared" si="63"/>
        <v>-</v>
      </c>
      <c r="EQ25" s="73" t="e">
        <f t="shared" si="64"/>
        <v>#VALUE!</v>
      </c>
      <c r="ER25" t="e">
        <f t="shared" si="65"/>
        <v>#VALUE!</v>
      </c>
      <c r="ES25" t="e">
        <f t="shared" si="66"/>
        <v>#VALUE!</v>
      </c>
      <c r="ET25" t="e">
        <f t="shared" si="67"/>
        <v>#VALUE!</v>
      </c>
      <c r="EU25" s="11" t="str">
        <f t="shared" si="68"/>
        <v>-</v>
      </c>
      <c r="EX25">
        <f>'4.Ident.Princip.Consumos'!O26</f>
        <v>0</v>
      </c>
      <c r="EY25">
        <f>'4.Ident.Princip.Consumos'!P26</f>
        <v>0</v>
      </c>
      <c r="EZ25">
        <f>'4.Ident.Princip.Consumos'!Q26</f>
        <v>0</v>
      </c>
      <c r="FA25" t="e">
        <f>((((((EX25+EY25+EZ25)/3))*1.732*'4.Ident.Princip.Consumos'!I26*'4.Ident.Princip.Consumos'!$E$30)/1000)*'4.Ident.Princip.Consumos'!G26*4.34*12)*$AT$19</f>
        <v>#DIV/0!</v>
      </c>
      <c r="FB25" t="e">
        <f>(((EX25*'4.Ident.Princip.Consumos'!$E$30*'4.Ident.Princip.Consumos'!I26)/1000)*'4.Ident.Princip.Consumos'!G26*4.34*12)*$AT$19</f>
        <v>#DIV/0!</v>
      </c>
      <c r="FC25" t="e">
        <f t="shared" si="69"/>
        <v>#DIV/0!</v>
      </c>
      <c r="FD25" t="e">
        <f t="shared" si="70"/>
        <v>#DIV/0!</v>
      </c>
      <c r="FH25" s="73">
        <f t="shared" si="72"/>
        <v>1.1499999999999999</v>
      </c>
    </row>
    <row r="26" spans="1:164" x14ac:dyDescent="0.3">
      <c r="A26" s="37" t="s">
        <v>206</v>
      </c>
      <c r="B26" s="1">
        <f>'7.- UpDate'!D34</f>
        <v>50.39</v>
      </c>
      <c r="C26" s="1">
        <f>'7.- UpDate'!E34</f>
        <v>58.71</v>
      </c>
      <c r="F26" s="39" t="s">
        <v>229</v>
      </c>
      <c r="G26" s="38">
        <f>'7.- UpDate'!H25</f>
        <v>0.7137</v>
      </c>
      <c r="K26" s="186" t="s">
        <v>138</v>
      </c>
      <c r="L26">
        <f>B82</f>
        <v>4.82E-2</v>
      </c>
      <c r="N26" s="186" t="s">
        <v>138</v>
      </c>
      <c r="O26" s="129">
        <f>B75</f>
        <v>0.31519999999999998</v>
      </c>
      <c r="P26" s="307" t="e">
        <f>'Tarifa MTBT'!P33</f>
        <v>#NUM!</v>
      </c>
      <c r="Q26" s="129">
        <f t="shared" si="84"/>
        <v>0</v>
      </c>
      <c r="R26" s="307" t="e">
        <f>'Tarifa MTBT'!O26</f>
        <v>#NUM!</v>
      </c>
      <c r="V26" s="116" t="s">
        <v>236</v>
      </c>
      <c r="Z26">
        <v>900</v>
      </c>
      <c r="AA26">
        <v>25</v>
      </c>
      <c r="AC26">
        <v>125</v>
      </c>
      <c r="AE26" s="52">
        <v>45870</v>
      </c>
      <c r="CJ26" t="str">
        <f>IFERROR(CL12/'1.GeneralesEmpresa'!G19,"-")</f>
        <v>-</v>
      </c>
      <c r="CY26">
        <f>Hoja2!AA22</f>
        <v>0</v>
      </c>
      <c r="CZ26" s="72" t="str">
        <f t="shared" ref="CZ26:CZ49" si="85">IFERROR(CY26/$CY$52,"-")</f>
        <v>-</v>
      </c>
      <c r="DC26" t="str">
        <f>IF('4.Ident.Princip.Consumos'!M27="Monofásico","Monofásico","Trifásico")</f>
        <v>Monofásico</v>
      </c>
      <c r="DD26" s="84" t="str">
        <f>IF('4.Ident.Princip.Consumos'!J27="","-",'4.Ident.Princip.Consumos'!J27)</f>
        <v>-</v>
      </c>
      <c r="DE26" s="84" t="str">
        <f>IF('4.Ident.Princip.Consumos'!K27="","-",'4.Ident.Princip.Consumos'!K27)</f>
        <v>-</v>
      </c>
      <c r="DF26" s="84" t="str">
        <f>IF('4.Ident.Princip.Consumos'!L27="","-",'4.Ident.Princip.Consumos'!L27)</f>
        <v>-</v>
      </c>
      <c r="DG26" t="e">
        <f t="shared" si="40"/>
        <v>#DIV/0!</v>
      </c>
      <c r="DH26" t="str">
        <f t="shared" si="41"/>
        <v>Monofásico</v>
      </c>
      <c r="DI26" t="e">
        <f>('4.Ident.Princip.Consumos'!I27*Hoja1!DG26*'4.Ident.Princip.Consumos'!$E$30*1.732)/1000</f>
        <v>#DIV/0!</v>
      </c>
      <c r="DJ26" t="e">
        <f>('4.Ident.Princip.Consumos'!I27*Hoja1!DD26*'4.Ident.Princip.Consumos'!$E$30)/1000</f>
        <v>#VALUE!</v>
      </c>
      <c r="DK26" s="3" t="e">
        <f t="shared" si="42"/>
        <v>#VALUE!</v>
      </c>
      <c r="DL26" t="e">
        <f>(CS48*CU48)/'4.Ident.Princip.Consumos'!$E$31</f>
        <v>#VALUE!</v>
      </c>
      <c r="DM26" s="72" t="e">
        <f t="shared" si="43"/>
        <v>#VALUE!</v>
      </c>
      <c r="DN26" s="3" t="e">
        <f>DL26/('4.Ident.Princip.Consumos'!$E$30*'4.Ident.Princip.Consumos'!I27*1.732)*1000</f>
        <v>#VALUE!</v>
      </c>
      <c r="DO26" s="3" t="e">
        <f>DL26/('4.Ident.Princip.Consumos'!$E$30*'4.Ident.Princip.Consumos'!I27)*1000</f>
        <v>#VALUE!</v>
      </c>
      <c r="DP26" s="3" t="e">
        <f t="shared" si="44"/>
        <v>#VALUE!</v>
      </c>
      <c r="DQ26" t="e">
        <f>DN26*'4.Ident.Princip.Consumos'!I27*0.8*1.732/1000</f>
        <v>#VALUE!</v>
      </c>
      <c r="DR26" s="72" t="str">
        <f t="shared" si="83"/>
        <v>-</v>
      </c>
      <c r="DS26" s="72" t="str">
        <f t="shared" si="83"/>
        <v>-</v>
      </c>
      <c r="DT26" s="72" t="str">
        <f t="shared" si="83"/>
        <v>-</v>
      </c>
      <c r="DU26" s="72" t="str">
        <f t="shared" si="45"/>
        <v>-</v>
      </c>
      <c r="DV26" s="72" t="str">
        <f t="shared" si="46"/>
        <v>-</v>
      </c>
      <c r="DW26" s="72" t="str">
        <f t="shared" si="47"/>
        <v>-</v>
      </c>
      <c r="DX26" s="72" t="str">
        <f t="shared" si="48"/>
        <v>-</v>
      </c>
      <c r="DY26" t="str">
        <f t="shared" si="49"/>
        <v>-</v>
      </c>
      <c r="DZ26" t="str">
        <f t="shared" si="50"/>
        <v>-</v>
      </c>
      <c r="EA26" s="72" t="str">
        <f t="shared" si="51"/>
        <v>-</v>
      </c>
      <c r="EB26" s="73" t="str">
        <f t="shared" si="52"/>
        <v>-</v>
      </c>
      <c r="EC26" s="73" t="str">
        <f t="shared" si="53"/>
        <v>-</v>
      </c>
      <c r="ED26" s="73" t="str">
        <f t="shared" si="54"/>
        <v>-</v>
      </c>
      <c r="EE26" s="73" t="str">
        <f t="shared" si="71"/>
        <v>-</v>
      </c>
      <c r="EF26" s="72" t="str">
        <f t="shared" si="55"/>
        <v>-</v>
      </c>
      <c r="EG26" s="72" t="str">
        <f t="shared" si="56"/>
        <v>-</v>
      </c>
      <c r="EH26" s="72" t="str">
        <f t="shared" si="57"/>
        <v>-</v>
      </c>
      <c r="EI26" s="72" t="str">
        <f t="shared" si="58"/>
        <v>-</v>
      </c>
      <c r="EJ26" s="7" t="str">
        <f t="shared" si="59"/>
        <v>-</v>
      </c>
      <c r="EK26" s="87" t="str">
        <f t="shared" si="60"/>
        <v>-</v>
      </c>
      <c r="EL26" s="87" t="str">
        <f t="shared" si="61"/>
        <v>-</v>
      </c>
      <c r="EM26" s="87" t="str">
        <f t="shared" si="62"/>
        <v>-</v>
      </c>
      <c r="EN26" s="88" t="str">
        <f t="shared" si="63"/>
        <v>-</v>
      </c>
      <c r="EQ26" s="73" t="e">
        <f t="shared" si="64"/>
        <v>#VALUE!</v>
      </c>
      <c r="ER26" t="e">
        <f t="shared" si="65"/>
        <v>#VALUE!</v>
      </c>
      <c r="ES26" t="e">
        <f t="shared" si="66"/>
        <v>#VALUE!</v>
      </c>
      <c r="ET26" t="e">
        <f t="shared" si="67"/>
        <v>#VALUE!</v>
      </c>
      <c r="EU26" s="11" t="str">
        <f t="shared" si="68"/>
        <v>-</v>
      </c>
      <c r="EX26">
        <f>'4.Ident.Princip.Consumos'!O27</f>
        <v>0</v>
      </c>
      <c r="EY26">
        <f>'4.Ident.Princip.Consumos'!P27</f>
        <v>0</v>
      </c>
      <c r="EZ26">
        <f>'4.Ident.Princip.Consumos'!Q27</f>
        <v>0</v>
      </c>
      <c r="FA26" t="e">
        <f>((((((EX26+EY26+EZ26)/3))*1.732*'4.Ident.Princip.Consumos'!I27*'4.Ident.Princip.Consumos'!$E$30)/1000)*'4.Ident.Princip.Consumos'!G27*4.34*12)*$AT$19</f>
        <v>#DIV/0!</v>
      </c>
      <c r="FB26" t="e">
        <f>(((EX26*'4.Ident.Princip.Consumos'!$E$30*'4.Ident.Princip.Consumos'!I27)/1000)*'4.Ident.Princip.Consumos'!G27*4.34*12)*$AT$19</f>
        <v>#DIV/0!</v>
      </c>
      <c r="FC26" t="e">
        <f t="shared" si="69"/>
        <v>#DIV/0!</v>
      </c>
      <c r="FD26" t="e">
        <f t="shared" si="70"/>
        <v>#DIV/0!</v>
      </c>
      <c r="FH26" s="73">
        <f t="shared" si="72"/>
        <v>1.1499999999999999</v>
      </c>
    </row>
    <row r="27" spans="1:164" x14ac:dyDescent="0.3">
      <c r="A27" s="36" t="s">
        <v>209</v>
      </c>
      <c r="B27" s="1">
        <f>'7.- UpDate'!D35</f>
        <v>46.23</v>
      </c>
      <c r="C27" s="1">
        <f>'7.- UpDate'!E35</f>
        <v>36.83</v>
      </c>
      <c r="F27" s="1" t="s">
        <v>237</v>
      </c>
      <c r="G27" s="38">
        <f>'7.- UpDate'!H26</f>
        <v>0</v>
      </c>
      <c r="K27" s="186" t="s">
        <v>120</v>
      </c>
      <c r="L27">
        <f>B90</f>
        <v>4.82E-2</v>
      </c>
      <c r="N27" s="186" t="s">
        <v>120</v>
      </c>
      <c r="O27" s="129">
        <f>B86</f>
        <v>0.2782</v>
      </c>
      <c r="P27" s="307">
        <f>B89</f>
        <v>16.45</v>
      </c>
      <c r="Q27" s="129">
        <f t="shared" si="84"/>
        <v>0</v>
      </c>
      <c r="R27" s="307" t="e">
        <f>R24</f>
        <v>#NUM!</v>
      </c>
      <c r="Z27">
        <v>1000</v>
      </c>
      <c r="AA27">
        <v>26</v>
      </c>
      <c r="AC27">
        <v>130</v>
      </c>
      <c r="AE27" s="52">
        <v>45901</v>
      </c>
      <c r="AW27" s="117" t="s">
        <v>123</v>
      </c>
      <c r="AX27" s="68">
        <f>AW20*AV23</f>
        <v>446428.57142857148</v>
      </c>
      <c r="CJ27" t="str">
        <f>IFERROR(CL13/'1.GeneralesEmpresa'!G20,"-")</f>
        <v>-</v>
      </c>
      <c r="CS27" s="116" t="s">
        <v>148</v>
      </c>
      <c r="CV27" s="116" t="s">
        <v>238</v>
      </c>
      <c r="CW27" s="116" t="s">
        <v>239</v>
      </c>
      <c r="CX27" s="116" t="s">
        <v>240</v>
      </c>
      <c r="CY27">
        <f>Hoja2!AF22</f>
        <v>0</v>
      </c>
      <c r="CZ27" s="72" t="str">
        <f t="shared" si="85"/>
        <v>-</v>
      </c>
      <c r="DB27" t="str">
        <f>IF('4.Ident.Princip.Consumos'!M29="Monofásico","Monofásico","Trifásico")</f>
        <v>Monofásico</v>
      </c>
      <c r="DC27" t="str">
        <f>IF('4.Ident.Princip.Consumos'!M28="Monofásico","Monofásico","Trifásico")</f>
        <v>Monofásico</v>
      </c>
      <c r="DD27" s="84" t="str">
        <f>IF('4.Ident.Princip.Consumos'!J28="","-",'4.Ident.Princip.Consumos'!J28)</f>
        <v>-</v>
      </c>
      <c r="DE27" s="84" t="str">
        <f>IF('4.Ident.Princip.Consumos'!K28="","-",'4.Ident.Princip.Consumos'!K28)</f>
        <v>-</v>
      </c>
      <c r="DF27" s="84" t="str">
        <f>IF('4.Ident.Princip.Consumos'!L28="","-",'4.Ident.Princip.Consumos'!L28)</f>
        <v>-</v>
      </c>
      <c r="DG27" t="e">
        <f t="shared" si="40"/>
        <v>#DIV/0!</v>
      </c>
      <c r="DH27" t="str">
        <f>DC27</f>
        <v>Monofásico</v>
      </c>
      <c r="DI27" t="e">
        <f>('4.Ident.Princip.Consumos'!I28*Hoja1!DG27*'4.Ident.Princip.Consumos'!$E$30*1.732)/1000</f>
        <v>#DIV/0!</v>
      </c>
      <c r="DJ27" t="e">
        <f>('4.Ident.Princip.Consumos'!I28*Hoja1!DD27*'4.Ident.Princip.Consumos'!$E$30)/1000</f>
        <v>#VALUE!</v>
      </c>
      <c r="DK27" s="3" t="e">
        <f t="shared" si="42"/>
        <v>#VALUE!</v>
      </c>
      <c r="DL27" t="e">
        <f>(CS49*CU49)/'4.Ident.Princip.Consumos'!$E$31</f>
        <v>#VALUE!</v>
      </c>
      <c r="DM27" s="72" t="e">
        <f t="shared" si="43"/>
        <v>#VALUE!</v>
      </c>
      <c r="DN27" s="3" t="e">
        <f>DL27/('4.Ident.Princip.Consumos'!$E$30*'4.Ident.Princip.Consumos'!I28*1.732)*1000</f>
        <v>#VALUE!</v>
      </c>
      <c r="DO27" s="3" t="e">
        <f>DL27/('4.Ident.Princip.Consumos'!$E$30*'4.Ident.Princip.Consumos'!I28)*1000</f>
        <v>#VALUE!</v>
      </c>
      <c r="DP27" s="3" t="e">
        <f t="shared" si="44"/>
        <v>#VALUE!</v>
      </c>
      <c r="DQ27" t="e">
        <f>DN27*'4.Ident.Princip.Consumos'!I28*0.8*1.732/1000</f>
        <v>#VALUE!</v>
      </c>
      <c r="DR27" s="72" t="str">
        <f t="shared" si="83"/>
        <v>-</v>
      </c>
      <c r="DS27" s="72" t="str">
        <f t="shared" si="83"/>
        <v>-</v>
      </c>
      <c r="DT27" s="72" t="str">
        <f t="shared" si="83"/>
        <v>-</v>
      </c>
      <c r="DU27" s="72" t="str">
        <f t="shared" si="45"/>
        <v>-</v>
      </c>
      <c r="DV27" s="72" t="str">
        <f t="shared" si="46"/>
        <v>-</v>
      </c>
      <c r="DW27" s="72" t="str">
        <f t="shared" si="47"/>
        <v>-</v>
      </c>
      <c r="DX27" s="72" t="str">
        <f t="shared" si="48"/>
        <v>-</v>
      </c>
      <c r="DY27" t="str">
        <f t="shared" si="49"/>
        <v>-</v>
      </c>
      <c r="DZ27" t="str">
        <f t="shared" si="50"/>
        <v>-</v>
      </c>
      <c r="EA27" s="72" t="str">
        <f t="shared" si="51"/>
        <v>-</v>
      </c>
      <c r="EB27" s="73" t="str">
        <f t="shared" si="52"/>
        <v>-</v>
      </c>
      <c r="EC27" s="73" t="str">
        <f t="shared" si="53"/>
        <v>-</v>
      </c>
      <c r="ED27" s="73" t="str">
        <f t="shared" si="54"/>
        <v>-</v>
      </c>
      <c r="EE27" s="73" t="str">
        <f t="shared" si="71"/>
        <v>-</v>
      </c>
      <c r="EF27" s="72" t="str">
        <f t="shared" si="55"/>
        <v>-</v>
      </c>
      <c r="EG27" s="72" t="str">
        <f t="shared" si="56"/>
        <v>-</v>
      </c>
      <c r="EH27" s="72" t="str">
        <f t="shared" si="57"/>
        <v>-</v>
      </c>
      <c r="EI27" s="72" t="str">
        <f t="shared" si="58"/>
        <v>-</v>
      </c>
      <c r="EJ27" s="7" t="str">
        <f t="shared" si="59"/>
        <v>-</v>
      </c>
      <c r="EK27" s="87" t="str">
        <f t="shared" si="60"/>
        <v>-</v>
      </c>
      <c r="EL27" s="87" t="str">
        <f t="shared" si="61"/>
        <v>-</v>
      </c>
      <c r="EM27" s="87" t="str">
        <f t="shared" si="62"/>
        <v>-</v>
      </c>
      <c r="EN27" s="88" t="str">
        <f t="shared" si="63"/>
        <v>-</v>
      </c>
      <c r="EQ27" s="73" t="e">
        <f t="shared" si="64"/>
        <v>#VALUE!</v>
      </c>
      <c r="ER27" t="e">
        <f t="shared" si="65"/>
        <v>#VALUE!</v>
      </c>
      <c r="ES27" t="e">
        <f t="shared" si="66"/>
        <v>#VALUE!</v>
      </c>
      <c r="ET27" t="e">
        <f t="shared" si="67"/>
        <v>#VALUE!</v>
      </c>
      <c r="EU27" s="11" t="str">
        <f t="shared" si="68"/>
        <v>-</v>
      </c>
      <c r="EX27">
        <f>'4.Ident.Princip.Consumos'!O28</f>
        <v>0</v>
      </c>
      <c r="EY27">
        <f>'4.Ident.Princip.Consumos'!P28</f>
        <v>0</v>
      </c>
      <c r="EZ27">
        <f>'4.Ident.Princip.Consumos'!Q28</f>
        <v>0</v>
      </c>
      <c r="FA27" t="e">
        <f>((((((EX27+EY27+EZ27)/3))*1.732*'4.Ident.Princip.Consumos'!I28*'4.Ident.Princip.Consumos'!$E$30)/1000)*'4.Ident.Princip.Consumos'!G28*4.34*12)*$AT$19</f>
        <v>#DIV/0!</v>
      </c>
      <c r="FB27" t="e">
        <f>(((EX27*'4.Ident.Princip.Consumos'!$E$30*'4.Ident.Princip.Consumos'!I28)/1000)*'4.Ident.Princip.Consumos'!G28*4.34*12)*$AT$19</f>
        <v>#DIV/0!</v>
      </c>
      <c r="FC27" t="e">
        <f t="shared" si="69"/>
        <v>#DIV/0!</v>
      </c>
      <c r="FD27" t="e">
        <f t="shared" si="70"/>
        <v>#DIV/0!</v>
      </c>
      <c r="FH27" s="73">
        <f t="shared" si="72"/>
        <v>1.1499999999999999</v>
      </c>
    </row>
    <row r="28" spans="1:164" ht="20" x14ac:dyDescent="0.3">
      <c r="A28" s="37" t="s">
        <v>212</v>
      </c>
      <c r="B28" s="1">
        <f>'7.- UpDate'!D36</f>
        <v>0</v>
      </c>
      <c r="C28" s="1">
        <f>'7.- UpDate'!E36</f>
        <v>0</v>
      </c>
      <c r="F28" s="39" t="s">
        <v>229</v>
      </c>
      <c r="G28" s="38">
        <f>'7.- UpDate'!H27</f>
        <v>0.73650000000000004</v>
      </c>
      <c r="K28" s="186" t="s">
        <v>181</v>
      </c>
      <c r="L28">
        <f>B102</f>
        <v>4.82E-2</v>
      </c>
      <c r="N28" s="186" t="s">
        <v>181</v>
      </c>
      <c r="O28" s="129">
        <f>B95</f>
        <v>0.2782</v>
      </c>
      <c r="P28" s="307" t="e">
        <f>'Tarifa MTBT'!K33</f>
        <v>#NUM!</v>
      </c>
      <c r="Q28" s="129">
        <f t="shared" si="84"/>
        <v>0</v>
      </c>
      <c r="R28" s="307" t="e">
        <f>R25</f>
        <v>#NUM!</v>
      </c>
      <c r="Z28">
        <v>1250</v>
      </c>
      <c r="AA28">
        <v>27</v>
      </c>
      <c r="AC28">
        <v>135</v>
      </c>
      <c r="AE28" s="52">
        <v>45931</v>
      </c>
      <c r="AW28" s="117" t="s">
        <v>130</v>
      </c>
      <c r="AX28" s="68">
        <f>AW21*AV23</f>
        <v>2008928.5714285716</v>
      </c>
      <c r="CJ28" t="str">
        <f>IFERROR(CL14/'1.GeneralesEmpresa'!G21,"-")</f>
        <v>-</v>
      </c>
      <c r="CO28" s="1" t="str">
        <f>IF('4.Ident.Princip.Consumos'!A7="","-",'4.Ident.Princip.Consumos'!A7)</f>
        <v>-</v>
      </c>
      <c r="CP28" s="1"/>
      <c r="CQ28" s="1"/>
      <c r="CR28" s="1" t="str">
        <f>CO28</f>
        <v>-</v>
      </c>
      <c r="CS28" s="1">
        <f>'4.Ident.Princip.Consumos'!D7</f>
        <v>0</v>
      </c>
      <c r="CT28" s="69">
        <f>'4.Ident.Princip.Consumos'!E7</f>
        <v>0</v>
      </c>
      <c r="CU28" t="str">
        <f>IFERROR(_xlfn.XLOOKUP(CT28,$CR$22:$CR$24,$CS$22:$CS$24),"-")</f>
        <v>-</v>
      </c>
      <c r="CV28" s="1" t="e">
        <f>'4.Ident.Princip.Consumos'!#REF!</f>
        <v>#REF!</v>
      </c>
      <c r="CW28" s="1">
        <f>'4.Ident.Princip.Consumos'!F7</f>
        <v>0</v>
      </c>
      <c r="CX28" s="1">
        <f>'4.Ident.Princip.Consumos'!G7</f>
        <v>0</v>
      </c>
      <c r="CY28" t="str">
        <f>IFERROR(CS28*CU28*CW28*CX28*4,"-")</f>
        <v>-</v>
      </c>
      <c r="CZ28" s="72" t="str">
        <f t="shared" si="85"/>
        <v>-</v>
      </c>
      <c r="DB28" s="140" t="s">
        <v>338</v>
      </c>
      <c r="DC28" s="73" t="e">
        <f t="shared" ref="DC28:DC29" si="86">IF(CZ26="-",NA(),CZ26)</f>
        <v>#N/A</v>
      </c>
      <c r="DD28" s="84" t="str">
        <f>IF('4.Ident.Princip.Consumos'!J29="","-",'4.Ident.Princip.Consumos'!J29)</f>
        <v>-</v>
      </c>
      <c r="DE28" s="84" t="str">
        <f>IF('4.Ident.Princip.Consumos'!K29="","-",'4.Ident.Princip.Consumos'!K29)</f>
        <v>-</v>
      </c>
      <c r="DF28" s="84" t="str">
        <f>IF('4.Ident.Princip.Consumos'!L29="","-",'4.Ident.Princip.Consumos'!L29)</f>
        <v>-</v>
      </c>
      <c r="DG28" t="e">
        <f t="shared" si="40"/>
        <v>#DIV/0!</v>
      </c>
      <c r="DH28" t="str">
        <f>DB27</f>
        <v>Monofásico</v>
      </c>
      <c r="DI28" t="e">
        <f>('4.Ident.Princip.Consumos'!I29*Hoja1!DG28*'4.Ident.Princip.Consumos'!$E$30*1.732)/1000</f>
        <v>#DIV/0!</v>
      </c>
      <c r="DJ28" t="e">
        <f>('4.Ident.Princip.Consumos'!I29*Hoja1!DD28*'4.Ident.Princip.Consumos'!$E$30)/1000</f>
        <v>#VALUE!</v>
      </c>
      <c r="DK28" s="3" t="e">
        <f t="shared" si="42"/>
        <v>#VALUE!</v>
      </c>
      <c r="DL28" t="e">
        <f>(CS51*CU51)/'4.Ident.Princip.Consumos'!$E$31</f>
        <v>#VALUE!</v>
      </c>
      <c r="DM28" s="72" t="e">
        <f t="shared" si="43"/>
        <v>#VALUE!</v>
      </c>
      <c r="DN28" s="3" t="e">
        <f>DL28/('4.Ident.Princip.Consumos'!$E$30*'4.Ident.Princip.Consumos'!I29*1.732)*1000</f>
        <v>#VALUE!</v>
      </c>
      <c r="DO28" s="3" t="e">
        <f>DL28/('4.Ident.Princip.Consumos'!$E$30*'4.Ident.Princip.Consumos'!I29)*1000</f>
        <v>#VALUE!</v>
      </c>
      <c r="DP28" s="3" t="e">
        <f>IF(DH28="Monofásico",DO28,DN28)</f>
        <v>#VALUE!</v>
      </c>
      <c r="DQ28" t="e">
        <f>DN28*'4.Ident.Princip.Consumos'!I29*0.8*1.732/1000</f>
        <v>#VALUE!</v>
      </c>
      <c r="DR28" s="72" t="str">
        <f t="shared" si="83"/>
        <v>-</v>
      </c>
      <c r="DS28" s="72" t="str">
        <f t="shared" si="83"/>
        <v>-</v>
      </c>
      <c r="DT28" s="72" t="str">
        <f t="shared" si="83"/>
        <v>-</v>
      </c>
      <c r="DU28" s="72" t="str">
        <f t="shared" si="45"/>
        <v>-</v>
      </c>
      <c r="DV28" s="72" t="str">
        <f t="shared" si="46"/>
        <v>-</v>
      </c>
      <c r="DW28" s="72" t="str">
        <f t="shared" si="47"/>
        <v>-</v>
      </c>
      <c r="DX28" s="72" t="str">
        <f t="shared" si="48"/>
        <v>-</v>
      </c>
      <c r="DY28" t="str">
        <f>CO51</f>
        <v>-</v>
      </c>
      <c r="DZ28" t="str">
        <f t="shared" si="50"/>
        <v>-</v>
      </c>
      <c r="EA28" s="72" t="str">
        <f t="shared" si="51"/>
        <v>-</v>
      </c>
      <c r="EB28" s="73" t="str">
        <f t="shared" si="52"/>
        <v>-</v>
      </c>
      <c r="EC28" s="73" t="str">
        <f t="shared" si="53"/>
        <v>-</v>
      </c>
      <c r="ED28" s="73" t="str">
        <f t="shared" si="54"/>
        <v>-</v>
      </c>
      <c r="EE28" s="73" t="str">
        <f t="shared" si="71"/>
        <v>-</v>
      </c>
      <c r="EF28" s="72" t="str">
        <f t="shared" si="55"/>
        <v>-</v>
      </c>
      <c r="EG28" s="72" t="str">
        <f t="shared" si="56"/>
        <v>-</v>
      </c>
      <c r="EH28" s="72" t="str">
        <f t="shared" si="57"/>
        <v>-</v>
      </c>
      <c r="EI28" s="72" t="str">
        <f t="shared" si="58"/>
        <v>-</v>
      </c>
      <c r="EJ28" s="7" t="str">
        <f t="shared" si="59"/>
        <v>-</v>
      </c>
      <c r="EK28" s="87" t="str">
        <f t="shared" si="60"/>
        <v>-</v>
      </c>
      <c r="EL28" s="87" t="str">
        <f t="shared" si="61"/>
        <v>-</v>
      </c>
      <c r="EM28" s="87" t="str">
        <f t="shared" si="62"/>
        <v>-</v>
      </c>
      <c r="EN28" s="88" t="str">
        <f t="shared" si="63"/>
        <v>-</v>
      </c>
      <c r="EQ28" s="73" t="e">
        <f>DM28</f>
        <v>#VALUE!</v>
      </c>
      <c r="ER28" t="e">
        <f t="shared" si="65"/>
        <v>#VALUE!</v>
      </c>
      <c r="ES28" t="e">
        <f t="shared" si="66"/>
        <v>#VALUE!</v>
      </c>
      <c r="ET28" t="e">
        <f>CW51*CX51*4.34*12*ES28</f>
        <v>#VALUE!</v>
      </c>
      <c r="EU28" s="11" t="str">
        <f t="shared" si="68"/>
        <v>-</v>
      </c>
      <c r="EX28">
        <f>'4.Ident.Princip.Consumos'!O29</f>
        <v>0</v>
      </c>
      <c r="EY28">
        <f>'4.Ident.Princip.Consumos'!P29</f>
        <v>0</v>
      </c>
      <c r="EZ28">
        <f>'4.Ident.Princip.Consumos'!Q29</f>
        <v>0</v>
      </c>
      <c r="FA28" t="e">
        <f>((((((EX28+EY28+EZ28)/3))*1.732*'4.Ident.Princip.Consumos'!I29*'4.Ident.Princip.Consumos'!$E$30)/1000)*'4.Ident.Princip.Consumos'!G29*4.34*12)*$AT$19</f>
        <v>#DIV/0!</v>
      </c>
      <c r="FB28" t="e">
        <f>(((EX28*'4.Ident.Princip.Consumos'!$E$30*'4.Ident.Princip.Consumos'!I29)/1000)*'4.Ident.Princip.Consumos'!G29*4.34*12)*$AT$19</f>
        <v>#DIV/0!</v>
      </c>
      <c r="FC28" t="e">
        <f t="shared" si="69"/>
        <v>#DIV/0!</v>
      </c>
      <c r="FD28" t="e">
        <f t="shared" si="70"/>
        <v>#DIV/0!</v>
      </c>
      <c r="FH28" s="73">
        <f t="shared" si="72"/>
        <v>1.1499999999999999</v>
      </c>
    </row>
    <row r="29" spans="1:164" x14ac:dyDescent="0.3">
      <c r="A29" s="36" t="s">
        <v>206</v>
      </c>
      <c r="B29" s="1">
        <f>'7.- UpDate'!D37</f>
        <v>83.43</v>
      </c>
      <c r="C29" s="1">
        <f>'7.- UpDate'!E37</f>
        <v>17.02</v>
      </c>
      <c r="F29" s="1"/>
      <c r="G29" s="38">
        <f>'7.- UpDate'!H28</f>
        <v>0</v>
      </c>
      <c r="K29" s="186" t="s">
        <v>185</v>
      </c>
      <c r="L29">
        <f>B113</f>
        <v>4.82E-2</v>
      </c>
      <c r="N29" s="186" t="s">
        <v>185</v>
      </c>
      <c r="O29" s="129">
        <f>B106</f>
        <v>0.29099999999999998</v>
      </c>
      <c r="P29" s="307" t="e">
        <f>'Tarifa MTBT'!Q33</f>
        <v>#NUM!</v>
      </c>
      <c r="Q29" s="129">
        <f t="shared" si="84"/>
        <v>0</v>
      </c>
      <c r="R29" s="307" t="e">
        <f>R26</f>
        <v>#NUM!</v>
      </c>
      <c r="Z29">
        <v>1500</v>
      </c>
      <c r="AA29">
        <v>28</v>
      </c>
      <c r="AC29">
        <v>140</v>
      </c>
      <c r="AE29" s="52">
        <v>45962</v>
      </c>
      <c r="AW29" s="117" t="s">
        <v>79</v>
      </c>
      <c r="AX29" s="68">
        <f>AW25</f>
        <v>95663.182000000001</v>
      </c>
      <c r="CJ29" t="str">
        <f>IFERROR(CL15/'1.GeneralesEmpresa'!G22,"-")</f>
        <v>-</v>
      </c>
      <c r="CO29" s="1" t="str">
        <f>IF('4.Ident.Princip.Consumos'!A8="","-",'4.Ident.Princip.Consumos'!A8)</f>
        <v>-</v>
      </c>
      <c r="CP29" s="1"/>
      <c r="CQ29" s="1"/>
      <c r="CR29" s="1" t="str">
        <f t="shared" ref="CR29:CR51" si="87">CO29</f>
        <v>-</v>
      </c>
      <c r="CS29" s="1">
        <f>'4.Ident.Princip.Consumos'!D8</f>
        <v>0</v>
      </c>
      <c r="CT29" s="69">
        <f>'4.Ident.Princip.Consumos'!E8</f>
        <v>0</v>
      </c>
      <c r="CU29" t="str">
        <f t="shared" ref="CU29:CU51" si="88">IFERROR(_xlfn.XLOOKUP(CT29,$CR$22:$CR$24,$CS$22:$CS$24),"-")</f>
        <v>-</v>
      </c>
      <c r="CV29" s="1" t="e">
        <f>'4.Ident.Princip.Consumos'!#REF!</f>
        <v>#REF!</v>
      </c>
      <c r="CW29" s="1">
        <f>'4.Ident.Princip.Consumos'!F8</f>
        <v>0</v>
      </c>
      <c r="CX29" s="1">
        <f>'4.Ident.Princip.Consumos'!G8</f>
        <v>0</v>
      </c>
      <c r="CY29" t="str">
        <f t="shared" ref="CY29:CY49" si="89">IFERROR(CS29*CU29*CW29*CX29*4,"-")</f>
        <v>-</v>
      </c>
      <c r="CZ29" s="72" t="str">
        <f t="shared" si="85"/>
        <v>-</v>
      </c>
      <c r="DB29" s="140" t="s">
        <v>339</v>
      </c>
      <c r="DC29" s="73" t="e">
        <f t="shared" si="86"/>
        <v>#N/A</v>
      </c>
      <c r="DD29" s="84"/>
    </row>
    <row r="30" spans="1:164" x14ac:dyDescent="0.3">
      <c r="A30" s="37" t="s">
        <v>209</v>
      </c>
      <c r="B30" s="1">
        <f>'7.- UpDate'!D38</f>
        <v>80.260000000000005</v>
      </c>
      <c r="C30" s="1">
        <f>'7.- UpDate'!E38</f>
        <v>16.809999999999999</v>
      </c>
      <c r="F30" s="1"/>
      <c r="G30" s="38">
        <f>'7.- UpDate'!H29</f>
        <v>0</v>
      </c>
      <c r="K30" s="186" t="s">
        <v>188</v>
      </c>
      <c r="L30">
        <v>0</v>
      </c>
      <c r="N30" s="186" t="s">
        <v>188</v>
      </c>
      <c r="O30" s="129">
        <f>B122</f>
        <v>0.30120000000000002</v>
      </c>
      <c r="P30" s="307">
        <v>0</v>
      </c>
      <c r="Q30" s="129">
        <f t="shared" si="84"/>
        <v>0</v>
      </c>
      <c r="R30" s="307" t="e">
        <f>'Tarifa MTBT'!AC41</f>
        <v>#VALUE!</v>
      </c>
      <c r="Z30">
        <v>1750</v>
      </c>
      <c r="AA30">
        <v>29</v>
      </c>
      <c r="AC30">
        <v>145</v>
      </c>
      <c r="AE30" s="52">
        <v>45992</v>
      </c>
      <c r="CJ30" t="str">
        <f>IFERROR(CL16/'1.GeneralesEmpresa'!G23,"-")</f>
        <v>-</v>
      </c>
      <c r="CO30" s="1" t="str">
        <f>IF('4.Ident.Princip.Consumos'!A9="","-",'4.Ident.Princip.Consumos'!A9)</f>
        <v>-</v>
      </c>
      <c r="CP30" s="1"/>
      <c r="CQ30" s="1"/>
      <c r="CR30" s="1" t="str">
        <f t="shared" si="87"/>
        <v>-</v>
      </c>
      <c r="CS30" s="1">
        <f>'4.Ident.Princip.Consumos'!D9</f>
        <v>0</v>
      </c>
      <c r="CT30" s="69">
        <f>'4.Ident.Princip.Consumos'!E9</f>
        <v>0</v>
      </c>
      <c r="CU30" t="str">
        <f t="shared" si="88"/>
        <v>-</v>
      </c>
      <c r="CV30" s="1" t="e">
        <f>'4.Ident.Princip.Consumos'!#REF!</f>
        <v>#REF!</v>
      </c>
      <c r="CW30" s="1">
        <f>'4.Ident.Princip.Consumos'!F9</f>
        <v>0</v>
      </c>
      <c r="CX30" s="1">
        <f>'4.Ident.Princip.Consumos'!G9</f>
        <v>0</v>
      </c>
      <c r="CY30" t="str">
        <f t="shared" si="89"/>
        <v>-</v>
      </c>
      <c r="CZ30" s="72" t="str">
        <f t="shared" si="85"/>
        <v>-</v>
      </c>
      <c r="DB30" t="e">
        <f t="shared" ref="DB30:DB53" si="90">IF(CR28="-",NA(),CR28)</f>
        <v>#N/A</v>
      </c>
      <c r="DC30" s="73" t="e">
        <f t="shared" ref="DC30:DC53" si="91">IF(CZ28="-",NA(),CZ28)</f>
        <v>#N/A</v>
      </c>
      <c r="DD30" s="84"/>
    </row>
    <row r="31" spans="1:164" ht="20" x14ac:dyDescent="0.3">
      <c r="A31" s="36" t="s">
        <v>186</v>
      </c>
      <c r="B31" s="1">
        <f>'7.- UpDate'!D39</f>
        <v>4.82E-2</v>
      </c>
      <c r="C31" s="1">
        <f>'7.- UpDate'!E39</f>
        <v>4.82E-2</v>
      </c>
      <c r="F31" s="1" t="s">
        <v>242</v>
      </c>
      <c r="G31" s="38" t="str">
        <f>'7.- UpDate'!H30</f>
        <v>BT5F</v>
      </c>
      <c r="K31" s="186" t="s">
        <v>50</v>
      </c>
      <c r="L31">
        <v>0</v>
      </c>
      <c r="N31" s="186" t="s">
        <v>50</v>
      </c>
      <c r="O31" s="129">
        <f>B132</f>
        <v>0.73650000000000004</v>
      </c>
      <c r="P31" s="307">
        <v>0</v>
      </c>
      <c r="Q31" s="129">
        <f t="shared" si="84"/>
        <v>0</v>
      </c>
      <c r="R31" s="307">
        <v>0</v>
      </c>
      <c r="Z31">
        <v>2000</v>
      </c>
      <c r="AA31">
        <v>30</v>
      </c>
      <c r="AC31">
        <v>150</v>
      </c>
      <c r="AE31" s="52">
        <v>46023</v>
      </c>
      <c r="AW31" s="69" t="str">
        <f>AV17</f>
        <v>Balón de 10kg</v>
      </c>
      <c r="AX31" s="65">
        <f>IFERROR((AY31),"0")</f>
        <v>446428.57142857148</v>
      </c>
      <c r="AY31">
        <f>_xlfn.XLOOKUP(AW31,AW27:AW29,AX27:AX29)</f>
        <v>446428.57142857148</v>
      </c>
      <c r="CJ31" t="str">
        <f>IFERROR(CL17/'1.GeneralesEmpresa'!G24,"-")</f>
        <v>-</v>
      </c>
      <c r="CO31" s="1" t="str">
        <f>IF('4.Ident.Princip.Consumos'!A10="","-",'4.Ident.Princip.Consumos'!A10)</f>
        <v>-</v>
      </c>
      <c r="CP31" s="1"/>
      <c r="CQ31" s="1"/>
      <c r="CR31" s="1" t="str">
        <f t="shared" si="87"/>
        <v>-</v>
      </c>
      <c r="CS31" s="1">
        <f>'4.Ident.Princip.Consumos'!D10</f>
        <v>0</v>
      </c>
      <c r="CT31" s="69">
        <f>'4.Ident.Princip.Consumos'!E10</f>
        <v>0</v>
      </c>
      <c r="CU31" t="str">
        <f t="shared" si="88"/>
        <v>-</v>
      </c>
      <c r="CV31" s="1" t="e">
        <f>'4.Ident.Princip.Consumos'!#REF!</f>
        <v>#REF!</v>
      </c>
      <c r="CW31" s="1">
        <f>'4.Ident.Princip.Consumos'!F10</f>
        <v>0</v>
      </c>
      <c r="CX31" s="1">
        <f>'4.Ident.Princip.Consumos'!G10</f>
        <v>0</v>
      </c>
      <c r="CY31" t="str">
        <f t="shared" si="89"/>
        <v>-</v>
      </c>
      <c r="CZ31" s="72" t="str">
        <f t="shared" si="85"/>
        <v>-</v>
      </c>
      <c r="DB31" t="e">
        <f t="shared" si="90"/>
        <v>#N/A</v>
      </c>
      <c r="DC31" s="73" t="e">
        <f t="shared" si="91"/>
        <v>#N/A</v>
      </c>
    </row>
    <row r="32" spans="1:164" x14ac:dyDescent="0.3">
      <c r="F32" s="36" t="s">
        <v>122</v>
      </c>
      <c r="G32" s="38">
        <f>'7.- UpDate'!H31</f>
        <v>9.19</v>
      </c>
      <c r="K32" s="186" t="s">
        <v>195</v>
      </c>
      <c r="L32">
        <v>0</v>
      </c>
      <c r="N32" s="186" t="s">
        <v>195</v>
      </c>
      <c r="O32" s="129">
        <f>B143</f>
        <v>0.5333</v>
      </c>
      <c r="P32" s="307">
        <v>0</v>
      </c>
      <c r="Q32" s="129">
        <f t="shared" si="84"/>
        <v>0</v>
      </c>
      <c r="R32" s="307">
        <v>0</v>
      </c>
      <c r="Z32">
        <v>2250</v>
      </c>
      <c r="AA32">
        <v>31</v>
      </c>
      <c r="AC32">
        <v>155</v>
      </c>
      <c r="AE32" s="52">
        <v>46054</v>
      </c>
      <c r="CJ32" t="e">
        <f>AVERAGE(CJ20:CJ31)</f>
        <v>#DIV/0!</v>
      </c>
      <c r="CO32" s="1" t="str">
        <f>IF('4.Ident.Princip.Consumos'!A11="","-",'4.Ident.Princip.Consumos'!A11)</f>
        <v>-</v>
      </c>
      <c r="CP32" s="1"/>
      <c r="CQ32" s="1"/>
      <c r="CR32" s="1" t="str">
        <f t="shared" si="87"/>
        <v>-</v>
      </c>
      <c r="CS32" s="1">
        <f>'4.Ident.Princip.Consumos'!D11</f>
        <v>0</v>
      </c>
      <c r="CT32" s="69">
        <f>'4.Ident.Princip.Consumos'!E11</f>
        <v>0</v>
      </c>
      <c r="CU32" t="str">
        <f t="shared" si="88"/>
        <v>-</v>
      </c>
      <c r="CV32" s="1" t="e">
        <f>'4.Ident.Princip.Consumos'!#REF!</f>
        <v>#REF!</v>
      </c>
      <c r="CW32" s="1">
        <f>'4.Ident.Princip.Consumos'!F11</f>
        <v>0</v>
      </c>
      <c r="CX32" s="1">
        <f>'4.Ident.Princip.Consumos'!G11</f>
        <v>0</v>
      </c>
      <c r="CY32" t="str">
        <f t="shared" si="89"/>
        <v>-</v>
      </c>
      <c r="CZ32" s="72" t="str">
        <f t="shared" si="85"/>
        <v>-</v>
      </c>
      <c r="DB32" t="e">
        <f t="shared" si="90"/>
        <v>#N/A</v>
      </c>
      <c r="DC32" s="73" t="e">
        <f t="shared" si="91"/>
        <v>#N/A</v>
      </c>
    </row>
    <row r="33" spans="1:107" x14ac:dyDescent="0.3">
      <c r="F33" s="1" t="s">
        <v>243</v>
      </c>
      <c r="G33" s="38">
        <f>'7.- UpDate'!H32</f>
        <v>0</v>
      </c>
      <c r="Z33">
        <v>2500</v>
      </c>
      <c r="AA33">
        <v>32</v>
      </c>
      <c r="AC33">
        <v>160</v>
      </c>
      <c r="AE33" s="52">
        <v>46082</v>
      </c>
      <c r="CO33" s="1" t="str">
        <f>IF('4.Ident.Princip.Consumos'!A12="","-",'4.Ident.Princip.Consumos'!A12)</f>
        <v>-</v>
      </c>
      <c r="CP33" s="1"/>
      <c r="CQ33" s="1"/>
      <c r="CR33" s="1" t="str">
        <f t="shared" si="87"/>
        <v>-</v>
      </c>
      <c r="CS33" s="1">
        <f>'4.Ident.Princip.Consumos'!D12</f>
        <v>0</v>
      </c>
      <c r="CT33" s="69">
        <f>'4.Ident.Princip.Consumos'!E12</f>
        <v>0</v>
      </c>
      <c r="CU33" t="str">
        <f t="shared" si="88"/>
        <v>-</v>
      </c>
      <c r="CV33" s="1" t="e">
        <f>'4.Ident.Princip.Consumos'!#REF!</f>
        <v>#REF!</v>
      </c>
      <c r="CW33" s="1">
        <f>'4.Ident.Princip.Consumos'!F12</f>
        <v>0</v>
      </c>
      <c r="CX33" s="1">
        <f>'4.Ident.Princip.Consumos'!G12</f>
        <v>0</v>
      </c>
      <c r="CY33" t="str">
        <f t="shared" si="89"/>
        <v>-</v>
      </c>
      <c r="CZ33" s="72" t="str">
        <f t="shared" si="85"/>
        <v>-</v>
      </c>
      <c r="DB33" t="e">
        <f t="shared" si="90"/>
        <v>#N/A</v>
      </c>
      <c r="DC33" s="73" t="e">
        <f t="shared" si="91"/>
        <v>#N/A</v>
      </c>
    </row>
    <row r="34" spans="1:107" x14ac:dyDescent="0.3">
      <c r="F34" s="1" t="s">
        <v>233</v>
      </c>
      <c r="G34" s="38">
        <f>'7.- UpDate'!H33</f>
        <v>0</v>
      </c>
      <c r="K34" s="186" t="s">
        <v>395</v>
      </c>
      <c r="L34">
        <f>_xlfn.XLOOKUP(K35,K24:K32,L24:L32)</f>
        <v>4.82E-2</v>
      </c>
      <c r="Z34">
        <v>2750</v>
      </c>
      <c r="AA34">
        <v>33</v>
      </c>
      <c r="AC34">
        <v>165</v>
      </c>
      <c r="AE34" s="52">
        <v>46113</v>
      </c>
      <c r="CO34" s="1" t="str">
        <f>IF('4.Ident.Princip.Consumos'!A13="","-",'4.Ident.Princip.Consumos'!A13)</f>
        <v>-</v>
      </c>
      <c r="CR34" s="1" t="str">
        <f t="shared" si="87"/>
        <v>-</v>
      </c>
      <c r="CS34" s="1">
        <f>'4.Ident.Princip.Consumos'!D13</f>
        <v>0</v>
      </c>
      <c r="CT34" s="69">
        <f>'4.Ident.Princip.Consumos'!E13</f>
        <v>0</v>
      </c>
      <c r="CU34" t="str">
        <f t="shared" si="88"/>
        <v>-</v>
      </c>
      <c r="CW34" s="1">
        <f>'4.Ident.Princip.Consumos'!F13</f>
        <v>0</v>
      </c>
      <c r="CX34" s="1">
        <f>'4.Ident.Princip.Consumos'!G13</f>
        <v>0</v>
      </c>
      <c r="CY34" t="str">
        <f t="shared" si="89"/>
        <v>-</v>
      </c>
      <c r="CZ34" s="72" t="str">
        <f t="shared" si="85"/>
        <v>-</v>
      </c>
      <c r="DB34" t="e">
        <f t="shared" si="90"/>
        <v>#N/A</v>
      </c>
      <c r="DC34" s="73" t="e">
        <f t="shared" si="91"/>
        <v>#N/A</v>
      </c>
    </row>
    <row r="35" spans="1:107" x14ac:dyDescent="0.3">
      <c r="F35" s="39" t="s">
        <v>127</v>
      </c>
      <c r="G35" s="38">
        <f>'7.- UpDate'!H34</f>
        <v>1.1592</v>
      </c>
      <c r="K35" t="str">
        <f>'1.GeneralesEmpresa'!B5</f>
        <v>MT3</v>
      </c>
      <c r="N35" t="str">
        <f>'1.GeneralesEmpresa'!B5</f>
        <v>MT3</v>
      </c>
      <c r="O35">
        <f>_xlfn.XLOOKUP(N35,N24:N32,O24:O32)</f>
        <v>0.2782</v>
      </c>
      <c r="P35" s="331" t="e">
        <f>_xlfn.XLOOKUP(N35,N24:N32,P24:P32)</f>
        <v>#NUM!</v>
      </c>
      <c r="Q35">
        <f>_xlfn.XLOOKUP(N35,N24:N32,Q24:Q32)</f>
        <v>0</v>
      </c>
      <c r="R35" t="e">
        <f>_xlfn.XLOOKUP(N35,N24:N32,R24:R32)</f>
        <v>#NUM!</v>
      </c>
      <c r="Z35">
        <v>3000</v>
      </c>
      <c r="AA35">
        <v>34</v>
      </c>
      <c r="AC35">
        <v>170</v>
      </c>
      <c r="AE35" s="52">
        <v>46143</v>
      </c>
      <c r="BH35" s="116" t="s">
        <v>244</v>
      </c>
      <c r="BJ35" s="116" t="s">
        <v>245</v>
      </c>
      <c r="BK35" s="116" t="s">
        <v>246</v>
      </c>
      <c r="CO35" s="1" t="str">
        <f>IF('4.Ident.Princip.Consumos'!A14="","-",'4.Ident.Princip.Consumos'!A14)</f>
        <v>-</v>
      </c>
      <c r="CR35" s="1" t="str">
        <f t="shared" si="87"/>
        <v>-</v>
      </c>
      <c r="CS35" s="1">
        <f>'4.Ident.Princip.Consumos'!D14</f>
        <v>0</v>
      </c>
      <c r="CT35" s="69">
        <f>'4.Ident.Princip.Consumos'!E14</f>
        <v>0</v>
      </c>
      <c r="CU35" t="str">
        <f t="shared" si="88"/>
        <v>-</v>
      </c>
      <c r="CW35" s="1">
        <f>'4.Ident.Princip.Consumos'!F14</f>
        <v>0</v>
      </c>
      <c r="CX35" s="1">
        <f>'4.Ident.Princip.Consumos'!G14</f>
        <v>0</v>
      </c>
      <c r="CY35" t="str">
        <f t="shared" si="89"/>
        <v>-</v>
      </c>
      <c r="CZ35" s="72" t="str">
        <f t="shared" si="85"/>
        <v>-</v>
      </c>
      <c r="DB35" t="e">
        <f t="shared" si="90"/>
        <v>#N/A</v>
      </c>
      <c r="DC35" s="73" t="e">
        <f t="shared" si="91"/>
        <v>#N/A</v>
      </c>
    </row>
    <row r="36" spans="1:107" x14ac:dyDescent="0.3">
      <c r="F36" s="40" t="s">
        <v>136</v>
      </c>
      <c r="G36" s="38">
        <f>'7.- UpDate'!H35</f>
        <v>0.51680000000000004</v>
      </c>
      <c r="O36">
        <f>O35/'6.Compensación'!C7</f>
        <v>7.5189189189189182E-2</v>
      </c>
      <c r="P36" t="e">
        <f>P35/'6.Compensación'!C7</f>
        <v>#NUM!</v>
      </c>
      <c r="Z36">
        <v>3250</v>
      </c>
      <c r="AA36">
        <v>35</v>
      </c>
      <c r="AC36">
        <v>175</v>
      </c>
      <c r="AE36" s="52">
        <v>46174</v>
      </c>
      <c r="BD36" s="129" t="s">
        <v>247</v>
      </c>
      <c r="BE36" s="130" t="s">
        <v>248</v>
      </c>
      <c r="BF36" s="132" t="s">
        <v>249</v>
      </c>
      <c r="BG36" t="s">
        <v>250</v>
      </c>
      <c r="BH36" s="116" t="s">
        <v>251</v>
      </c>
      <c r="BJ36" s="116" t="s">
        <v>252</v>
      </c>
      <c r="CO36" s="1" t="str">
        <f>IF('4.Ident.Princip.Consumos'!A15="","-",'4.Ident.Princip.Consumos'!A15)</f>
        <v>-</v>
      </c>
      <c r="CR36" s="1" t="str">
        <f t="shared" si="87"/>
        <v>-</v>
      </c>
      <c r="CS36" s="1">
        <f>'4.Ident.Princip.Consumos'!D15</f>
        <v>0</v>
      </c>
      <c r="CT36" s="69">
        <f>'4.Ident.Princip.Consumos'!E15</f>
        <v>0</v>
      </c>
      <c r="CU36" t="str">
        <f t="shared" si="88"/>
        <v>-</v>
      </c>
      <c r="CW36" s="1">
        <f>'4.Ident.Princip.Consumos'!F15</f>
        <v>0</v>
      </c>
      <c r="CX36" s="1">
        <f>'4.Ident.Princip.Consumos'!G15</f>
        <v>0</v>
      </c>
      <c r="CY36" t="str">
        <f t="shared" si="89"/>
        <v>-</v>
      </c>
      <c r="CZ36" s="72" t="str">
        <f t="shared" si="85"/>
        <v>-</v>
      </c>
      <c r="DB36" t="e">
        <f t="shared" si="90"/>
        <v>#N/A</v>
      </c>
      <c r="DC36" s="73" t="e">
        <f t="shared" si="91"/>
        <v>#N/A</v>
      </c>
    </row>
    <row r="37" spans="1:107" x14ac:dyDescent="0.3">
      <c r="F37" s="1" t="s">
        <v>237</v>
      </c>
      <c r="G37" s="38">
        <f>'7.- UpDate'!H36</f>
        <v>0</v>
      </c>
      <c r="Z37">
        <v>3500</v>
      </c>
      <c r="AA37">
        <v>36</v>
      </c>
      <c r="AC37">
        <v>180</v>
      </c>
      <c r="AE37" s="52">
        <v>46204</v>
      </c>
      <c r="AY37">
        <f>IF(BE37&gt;0,BF37,0)</f>
        <v>0</v>
      </c>
      <c r="AZ37">
        <v>6731.62</v>
      </c>
      <c r="BA37">
        <v>652</v>
      </c>
      <c r="BB37">
        <v>1</v>
      </c>
      <c r="BC37" s="52">
        <f>AO6</f>
        <v>45170</v>
      </c>
      <c r="BD37" s="129">
        <f>AS6</f>
        <v>0</v>
      </c>
      <c r="BE37" s="131">
        <f>CL6</f>
        <v>0</v>
      </c>
      <c r="BF37" s="132">
        <f>'1.GeneralesEmpresa'!H13</f>
        <v>0</v>
      </c>
      <c r="BG37">
        <f>'1.GeneralesEmpresa'!G13</f>
        <v>0</v>
      </c>
      <c r="BH37">
        <f t="shared" ref="BH37:BH48" si="92">+(BF37*$BD$71)+$BD$70</f>
        <v>0</v>
      </c>
      <c r="BI37">
        <f>BD37-BH37</f>
        <v>0</v>
      </c>
      <c r="BJ37">
        <f t="shared" ref="BJ37:BJ48" si="93">+(AY37*$BD$92)+$BD$91</f>
        <v>0</v>
      </c>
      <c r="BK37" t="e">
        <f>BG37/BF37</f>
        <v>#DIV/0!</v>
      </c>
      <c r="BL37" s="11" t="e">
        <f>BK37/$BJ$53</f>
        <v>#DIV/0!</v>
      </c>
      <c r="CO37" s="1" t="str">
        <f>IF('4.Ident.Princip.Consumos'!A16="","-",'4.Ident.Princip.Consumos'!A16)</f>
        <v>-</v>
      </c>
      <c r="CR37" s="1" t="str">
        <f t="shared" si="87"/>
        <v>-</v>
      </c>
      <c r="CS37" s="1">
        <f>'4.Ident.Princip.Consumos'!D16</f>
        <v>0</v>
      </c>
      <c r="CT37" s="69">
        <f>'4.Ident.Princip.Consumos'!E16</f>
        <v>0</v>
      </c>
      <c r="CU37" t="str">
        <f t="shared" si="88"/>
        <v>-</v>
      </c>
      <c r="CW37" s="1">
        <f>'4.Ident.Princip.Consumos'!F16</f>
        <v>0</v>
      </c>
      <c r="CX37" s="1">
        <f>'4.Ident.Princip.Consumos'!G16</f>
        <v>0</v>
      </c>
      <c r="CY37" t="str">
        <f t="shared" si="89"/>
        <v>-</v>
      </c>
      <c r="CZ37" s="72" t="str">
        <f t="shared" si="85"/>
        <v>-</v>
      </c>
      <c r="DB37" t="e">
        <f t="shared" si="90"/>
        <v>#N/A</v>
      </c>
      <c r="DC37" s="73" t="e">
        <f t="shared" si="91"/>
        <v>#N/A</v>
      </c>
    </row>
    <row r="38" spans="1:107" x14ac:dyDescent="0.3">
      <c r="F38" s="39" t="s">
        <v>127</v>
      </c>
      <c r="G38" s="38">
        <f>'7.- UpDate'!H37</f>
        <v>1.1962999999999999</v>
      </c>
      <c r="Z38">
        <v>3750</v>
      </c>
      <c r="AA38">
        <v>37</v>
      </c>
      <c r="AC38">
        <v>185</v>
      </c>
      <c r="AE38" s="52">
        <v>46235</v>
      </c>
      <c r="AY38">
        <f t="shared" ref="AY38:AY48" si="94">IF(BE38&gt;0,BF38,0)</f>
        <v>0</v>
      </c>
      <c r="AZ38">
        <v>6342.72</v>
      </c>
      <c r="BA38">
        <v>785</v>
      </c>
      <c r="BB38">
        <v>2</v>
      </c>
      <c r="BC38" s="52">
        <f t="shared" ref="BC38:BC47" si="95">AO7</f>
        <v>45201</v>
      </c>
      <c r="BD38" s="129">
        <f t="shared" ref="BD38:BD48" si="96">AS7</f>
        <v>0</v>
      </c>
      <c r="BE38" s="131">
        <f t="shared" ref="BE38:BE48" si="97">CL7</f>
        <v>0</v>
      </c>
      <c r="BF38" s="132">
        <f>'1.GeneralesEmpresa'!H14</f>
        <v>0</v>
      </c>
      <c r="BG38">
        <f>'1.GeneralesEmpresa'!G14</f>
        <v>0</v>
      </c>
      <c r="BH38">
        <f t="shared" si="92"/>
        <v>0</v>
      </c>
      <c r="BI38">
        <f t="shared" ref="BI38:BI48" si="98">BD38-BH38</f>
        <v>0</v>
      </c>
      <c r="BJ38">
        <f t="shared" si="93"/>
        <v>0</v>
      </c>
      <c r="BK38" t="e">
        <f t="shared" ref="BK38:BK48" si="99">BG38/BF38</f>
        <v>#DIV/0!</v>
      </c>
      <c r="CO38" s="1" t="str">
        <f>IF('4.Ident.Princip.Consumos'!A17="","-",'4.Ident.Princip.Consumos'!A17)</f>
        <v>-</v>
      </c>
      <c r="CR38" s="1" t="str">
        <f t="shared" si="87"/>
        <v>-</v>
      </c>
      <c r="CS38" s="1">
        <f>'4.Ident.Princip.Consumos'!D17</f>
        <v>0</v>
      </c>
      <c r="CT38" s="69">
        <f>'4.Ident.Princip.Consumos'!E17</f>
        <v>0</v>
      </c>
      <c r="CU38" t="str">
        <f t="shared" si="88"/>
        <v>-</v>
      </c>
      <c r="CW38" s="1">
        <f>'4.Ident.Princip.Consumos'!F17</f>
        <v>0</v>
      </c>
      <c r="CX38" s="1">
        <f>'4.Ident.Princip.Consumos'!G17</f>
        <v>0</v>
      </c>
      <c r="CY38" t="str">
        <f t="shared" si="89"/>
        <v>-</v>
      </c>
      <c r="CZ38" s="72" t="str">
        <f t="shared" si="85"/>
        <v>-</v>
      </c>
      <c r="DB38" t="e">
        <f t="shared" si="90"/>
        <v>#N/A</v>
      </c>
      <c r="DC38" s="73" t="e">
        <f t="shared" si="91"/>
        <v>#N/A</v>
      </c>
    </row>
    <row r="39" spans="1:107" x14ac:dyDescent="0.3">
      <c r="F39" s="40" t="s">
        <v>136</v>
      </c>
      <c r="G39" s="38">
        <f>'7.- UpDate'!H38</f>
        <v>0.5333</v>
      </c>
      <c r="Z39">
        <v>4000</v>
      </c>
      <c r="AA39">
        <v>38</v>
      </c>
      <c r="AC39">
        <v>190</v>
      </c>
      <c r="AE39" s="52">
        <v>46266</v>
      </c>
      <c r="AY39">
        <f t="shared" si="94"/>
        <v>0</v>
      </c>
      <c r="AZ39">
        <v>6604.32</v>
      </c>
      <c r="BA39">
        <v>951</v>
      </c>
      <c r="BB39">
        <v>3</v>
      </c>
      <c r="BC39" s="52">
        <f t="shared" si="95"/>
        <v>45232</v>
      </c>
      <c r="BD39" s="129">
        <f t="shared" si="96"/>
        <v>0</v>
      </c>
      <c r="BE39" s="131">
        <f t="shared" si="97"/>
        <v>0</v>
      </c>
      <c r="BF39" s="132">
        <f>'1.GeneralesEmpresa'!H15</f>
        <v>0</v>
      </c>
      <c r="BG39">
        <f>'1.GeneralesEmpresa'!G15</f>
        <v>0</v>
      </c>
      <c r="BH39">
        <f t="shared" si="92"/>
        <v>0</v>
      </c>
      <c r="BI39">
        <f t="shared" si="98"/>
        <v>0</v>
      </c>
      <c r="BJ39">
        <f t="shared" si="93"/>
        <v>0</v>
      </c>
      <c r="BK39" t="e">
        <f t="shared" si="99"/>
        <v>#DIV/0!</v>
      </c>
      <c r="CO39" s="1" t="str">
        <f>IF('4.Ident.Princip.Consumos'!A18="","-",'4.Ident.Princip.Consumos'!A18)</f>
        <v>-</v>
      </c>
      <c r="CR39" s="1" t="str">
        <f t="shared" si="87"/>
        <v>-</v>
      </c>
      <c r="CS39" s="1">
        <f>'4.Ident.Princip.Consumos'!D18</f>
        <v>0</v>
      </c>
      <c r="CT39" s="69">
        <f>'4.Ident.Princip.Consumos'!E18</f>
        <v>0</v>
      </c>
      <c r="CU39" t="str">
        <f t="shared" si="88"/>
        <v>-</v>
      </c>
      <c r="CW39" s="1">
        <f>'4.Ident.Princip.Consumos'!F18</f>
        <v>0</v>
      </c>
      <c r="CX39" s="1">
        <f>'4.Ident.Princip.Consumos'!G18</f>
        <v>0</v>
      </c>
      <c r="CY39" t="str">
        <f t="shared" si="89"/>
        <v>-</v>
      </c>
      <c r="CZ39" s="72" t="str">
        <f t="shared" si="85"/>
        <v>-</v>
      </c>
      <c r="DB39" t="e">
        <f t="shared" si="90"/>
        <v>#N/A</v>
      </c>
      <c r="DC39" s="73" t="e">
        <f t="shared" si="91"/>
        <v>#N/A</v>
      </c>
    </row>
    <row r="40" spans="1:107" x14ac:dyDescent="0.3">
      <c r="Q40">
        <f>AQ19</f>
        <v>0</v>
      </c>
      <c r="R40">
        <f>AP19</f>
        <v>0</v>
      </c>
      <c r="Z40">
        <v>4250</v>
      </c>
      <c r="AA40">
        <v>39</v>
      </c>
      <c r="AC40">
        <v>195</v>
      </c>
      <c r="AE40" s="52">
        <v>46296</v>
      </c>
      <c r="AY40">
        <f t="shared" si="94"/>
        <v>0</v>
      </c>
      <c r="AZ40">
        <v>6376.1900000000005</v>
      </c>
      <c r="BA40">
        <v>753</v>
      </c>
      <c r="BB40">
        <v>4</v>
      </c>
      <c r="BC40" s="52">
        <f t="shared" si="95"/>
        <v>45263</v>
      </c>
      <c r="BD40" s="129">
        <f t="shared" si="96"/>
        <v>0</v>
      </c>
      <c r="BE40" s="131">
        <f t="shared" si="97"/>
        <v>0</v>
      </c>
      <c r="BF40" s="132">
        <f>'1.GeneralesEmpresa'!H16</f>
        <v>0</v>
      </c>
      <c r="BG40">
        <f>'1.GeneralesEmpresa'!G16</f>
        <v>0</v>
      </c>
      <c r="BH40">
        <f t="shared" si="92"/>
        <v>0</v>
      </c>
      <c r="BI40">
        <f t="shared" si="98"/>
        <v>0</v>
      </c>
      <c r="BJ40">
        <f t="shared" si="93"/>
        <v>0</v>
      </c>
      <c r="BK40" t="e">
        <f t="shared" si="99"/>
        <v>#DIV/0!</v>
      </c>
      <c r="CO40" s="1" t="str">
        <f>IF('4.Ident.Princip.Consumos'!A19="","-",'4.Ident.Princip.Consumos'!A19)</f>
        <v>-</v>
      </c>
      <c r="CR40" s="1" t="str">
        <f t="shared" si="87"/>
        <v>-</v>
      </c>
      <c r="CS40" s="1">
        <f>'4.Ident.Princip.Consumos'!D19</f>
        <v>0</v>
      </c>
      <c r="CT40" s="69">
        <f>'4.Ident.Princip.Consumos'!E19</f>
        <v>0</v>
      </c>
      <c r="CU40" t="str">
        <f t="shared" si="88"/>
        <v>-</v>
      </c>
      <c r="CW40" s="1">
        <f>'4.Ident.Princip.Consumos'!F19</f>
        <v>0</v>
      </c>
      <c r="CX40" s="1">
        <f>'4.Ident.Princip.Consumos'!G19</f>
        <v>0</v>
      </c>
      <c r="CY40" t="str">
        <f t="shared" si="89"/>
        <v>-</v>
      </c>
      <c r="CZ40" s="72" t="str">
        <f t="shared" si="85"/>
        <v>-</v>
      </c>
      <c r="DB40" t="e">
        <f t="shared" si="90"/>
        <v>#N/A</v>
      </c>
      <c r="DC40" s="73" t="e">
        <f t="shared" si="91"/>
        <v>#N/A</v>
      </c>
    </row>
    <row r="41" spans="1:107" x14ac:dyDescent="0.3">
      <c r="Q41" t="s">
        <v>470</v>
      </c>
      <c r="R41" t="s">
        <v>471</v>
      </c>
      <c r="S41" t="s">
        <v>443</v>
      </c>
      <c r="T41" t="s">
        <v>472</v>
      </c>
      <c r="U41" t="s">
        <v>473</v>
      </c>
      <c r="Z41">
        <v>4500</v>
      </c>
      <c r="AA41">
        <v>40</v>
      </c>
      <c r="AC41">
        <v>200</v>
      </c>
      <c r="AE41" s="52">
        <v>46327</v>
      </c>
      <c r="AY41">
        <f t="shared" si="94"/>
        <v>0</v>
      </c>
      <c r="AZ41">
        <v>4714.1100000000006</v>
      </c>
      <c r="BA41">
        <v>852</v>
      </c>
      <c r="BB41">
        <v>5</v>
      </c>
      <c r="BC41" s="52">
        <f t="shared" si="95"/>
        <v>45294</v>
      </c>
      <c r="BD41" s="129">
        <f t="shared" si="96"/>
        <v>0</v>
      </c>
      <c r="BE41" s="131">
        <f t="shared" si="97"/>
        <v>0</v>
      </c>
      <c r="BF41" s="132">
        <f>'1.GeneralesEmpresa'!H17</f>
        <v>0</v>
      </c>
      <c r="BG41">
        <f>'1.GeneralesEmpresa'!G17</f>
        <v>0</v>
      </c>
      <c r="BH41">
        <f t="shared" si="92"/>
        <v>0</v>
      </c>
      <c r="BI41">
        <f t="shared" si="98"/>
        <v>0</v>
      </c>
      <c r="BJ41">
        <f t="shared" si="93"/>
        <v>0</v>
      </c>
      <c r="BK41" t="e">
        <f t="shared" si="99"/>
        <v>#DIV/0!</v>
      </c>
      <c r="CO41" s="1" t="str">
        <f>IF('4.Ident.Princip.Consumos'!A20="","-",'4.Ident.Princip.Consumos'!A20)</f>
        <v>-</v>
      </c>
      <c r="CR41" s="1" t="str">
        <f t="shared" si="87"/>
        <v>-</v>
      </c>
      <c r="CS41" s="1">
        <f>'4.Ident.Princip.Consumos'!D20</f>
        <v>0</v>
      </c>
      <c r="CT41" s="69">
        <f>'4.Ident.Princip.Consumos'!E20</f>
        <v>0</v>
      </c>
      <c r="CU41" t="str">
        <f t="shared" si="88"/>
        <v>-</v>
      </c>
      <c r="CW41" s="1">
        <f>'4.Ident.Princip.Consumos'!F20</f>
        <v>0</v>
      </c>
      <c r="CX41" s="1">
        <f>'4.Ident.Princip.Consumos'!G20</f>
        <v>0</v>
      </c>
      <c r="CY41" t="str">
        <f t="shared" si="89"/>
        <v>-</v>
      </c>
      <c r="CZ41" s="72" t="str">
        <f t="shared" si="85"/>
        <v>-</v>
      </c>
      <c r="DB41" t="e">
        <f t="shared" si="90"/>
        <v>#N/A</v>
      </c>
      <c r="DC41" s="73" t="e">
        <f t="shared" si="91"/>
        <v>#N/A</v>
      </c>
    </row>
    <row r="42" spans="1:107" x14ac:dyDescent="0.3">
      <c r="P42" s="186" t="s">
        <v>119</v>
      </c>
      <c r="Z42">
        <v>4750</v>
      </c>
      <c r="AA42">
        <v>41</v>
      </c>
      <c r="AC42">
        <v>225</v>
      </c>
      <c r="AE42" s="52">
        <v>46357</v>
      </c>
      <c r="AY42">
        <f t="shared" si="94"/>
        <v>0</v>
      </c>
      <c r="AZ42">
        <v>12604.42</v>
      </c>
      <c r="BA42">
        <v>951</v>
      </c>
      <c r="BB42">
        <v>6</v>
      </c>
      <c r="BC42" s="52">
        <f t="shared" si="95"/>
        <v>45325</v>
      </c>
      <c r="BD42" s="129">
        <f t="shared" si="96"/>
        <v>0</v>
      </c>
      <c r="BE42" s="131">
        <f t="shared" si="97"/>
        <v>0</v>
      </c>
      <c r="BF42" s="132">
        <f>'1.GeneralesEmpresa'!H18</f>
        <v>0</v>
      </c>
      <c r="BG42">
        <f>'1.GeneralesEmpresa'!G18</f>
        <v>0</v>
      </c>
      <c r="BH42">
        <f t="shared" si="92"/>
        <v>0</v>
      </c>
      <c r="BI42">
        <f t="shared" si="98"/>
        <v>0</v>
      </c>
      <c r="BJ42">
        <f t="shared" si="93"/>
        <v>0</v>
      </c>
      <c r="BK42" t="e">
        <f t="shared" si="99"/>
        <v>#DIV/0!</v>
      </c>
      <c r="CO42" s="1" t="str">
        <f>IF('4.Ident.Princip.Consumos'!A21="","-",'4.Ident.Princip.Consumos'!A21)</f>
        <v>-</v>
      </c>
      <c r="CR42" s="1" t="str">
        <f t="shared" si="87"/>
        <v>-</v>
      </c>
      <c r="CS42" s="1">
        <f>'4.Ident.Princip.Consumos'!D21</f>
        <v>0</v>
      </c>
      <c r="CT42" s="69">
        <f>'4.Ident.Princip.Consumos'!E21</f>
        <v>0</v>
      </c>
      <c r="CU42" t="str">
        <f t="shared" si="88"/>
        <v>-</v>
      </c>
      <c r="CW42" s="1">
        <f>'4.Ident.Princip.Consumos'!F21</f>
        <v>0</v>
      </c>
      <c r="CX42" s="1">
        <f>'4.Ident.Princip.Consumos'!G21</f>
        <v>0</v>
      </c>
      <c r="CY42" t="str">
        <f t="shared" si="89"/>
        <v>-</v>
      </c>
      <c r="CZ42" s="72" t="str">
        <f t="shared" si="85"/>
        <v>-</v>
      </c>
      <c r="DB42" t="e">
        <f t="shared" si="90"/>
        <v>#N/A</v>
      </c>
      <c r="DC42" s="73" t="e">
        <f t="shared" si="91"/>
        <v>#N/A</v>
      </c>
    </row>
    <row r="43" spans="1:107" x14ac:dyDescent="0.3">
      <c r="P43" s="186" t="s">
        <v>129</v>
      </c>
      <c r="Z43">
        <v>5000</v>
      </c>
      <c r="AA43">
        <v>42</v>
      </c>
      <c r="AC43">
        <v>250</v>
      </c>
      <c r="AE43" s="52">
        <v>46388</v>
      </c>
      <c r="AY43">
        <f t="shared" si="94"/>
        <v>0</v>
      </c>
      <c r="AZ43">
        <v>6741.62</v>
      </c>
      <c r="BA43">
        <v>789</v>
      </c>
      <c r="BB43">
        <v>7</v>
      </c>
      <c r="BC43" s="52">
        <f t="shared" si="95"/>
        <v>45356</v>
      </c>
      <c r="BD43" s="129">
        <f t="shared" si="96"/>
        <v>0</v>
      </c>
      <c r="BE43" s="131">
        <f t="shared" si="97"/>
        <v>0</v>
      </c>
      <c r="BF43" s="132">
        <f>'1.GeneralesEmpresa'!H19</f>
        <v>0</v>
      </c>
      <c r="BG43">
        <f>'1.GeneralesEmpresa'!G19</f>
        <v>0</v>
      </c>
      <c r="BH43">
        <f t="shared" si="92"/>
        <v>0</v>
      </c>
      <c r="BI43">
        <f t="shared" si="98"/>
        <v>0</v>
      </c>
      <c r="BJ43">
        <f t="shared" si="93"/>
        <v>0</v>
      </c>
      <c r="BK43" t="e">
        <f t="shared" si="99"/>
        <v>#DIV/0!</v>
      </c>
      <c r="CO43" s="1" t="str">
        <f>IF('4.Ident.Princip.Consumos'!A22="","-",'4.Ident.Princip.Consumos'!A22)</f>
        <v>-</v>
      </c>
      <c r="CR43" s="1" t="str">
        <f t="shared" si="87"/>
        <v>-</v>
      </c>
      <c r="CS43" s="1">
        <f>'4.Ident.Princip.Consumos'!D22</f>
        <v>0</v>
      </c>
      <c r="CT43" s="69">
        <f>'4.Ident.Princip.Consumos'!E22</f>
        <v>0</v>
      </c>
      <c r="CU43" t="str">
        <f t="shared" si="88"/>
        <v>-</v>
      </c>
      <c r="CW43" s="1">
        <f>'4.Ident.Princip.Consumos'!F22</f>
        <v>0</v>
      </c>
      <c r="CX43" s="1">
        <f>'4.Ident.Princip.Consumos'!G22</f>
        <v>0</v>
      </c>
      <c r="CY43" t="str">
        <f t="shared" si="89"/>
        <v>-</v>
      </c>
      <c r="CZ43" s="72" t="str">
        <f t="shared" si="85"/>
        <v>-</v>
      </c>
      <c r="DB43" t="e">
        <f t="shared" si="90"/>
        <v>#N/A</v>
      </c>
      <c r="DC43" s="73" t="e">
        <f t="shared" si="91"/>
        <v>#N/A</v>
      </c>
    </row>
    <row r="44" spans="1:107" x14ac:dyDescent="0.3">
      <c r="D44">
        <f>IF(D17&gt;120,_xlfn.XLOOKUP(B29,B19:B27,A19:A27),B32)</f>
        <v>0</v>
      </c>
      <c r="P44" s="186" t="s">
        <v>138</v>
      </c>
      <c r="Z44">
        <v>5250</v>
      </c>
      <c r="AA44">
        <v>43</v>
      </c>
      <c r="AC44">
        <v>275</v>
      </c>
      <c r="AE44" s="52">
        <v>46419</v>
      </c>
      <c r="AY44">
        <f t="shared" si="94"/>
        <v>0</v>
      </c>
      <c r="AZ44">
        <v>6396.72</v>
      </c>
      <c r="BA44">
        <v>654</v>
      </c>
      <c r="BB44">
        <v>8</v>
      </c>
      <c r="BC44" s="52">
        <f t="shared" si="95"/>
        <v>45387</v>
      </c>
      <c r="BD44" s="129">
        <f t="shared" si="96"/>
        <v>0</v>
      </c>
      <c r="BE44" s="131">
        <f t="shared" si="97"/>
        <v>0</v>
      </c>
      <c r="BF44" s="132">
        <f>'1.GeneralesEmpresa'!H20</f>
        <v>0</v>
      </c>
      <c r="BG44">
        <f>'1.GeneralesEmpresa'!G20</f>
        <v>0</v>
      </c>
      <c r="BH44">
        <f t="shared" si="92"/>
        <v>0</v>
      </c>
      <c r="BI44">
        <f t="shared" si="98"/>
        <v>0</v>
      </c>
      <c r="BJ44">
        <f t="shared" si="93"/>
        <v>0</v>
      </c>
      <c r="BK44" t="e">
        <f t="shared" si="99"/>
        <v>#DIV/0!</v>
      </c>
      <c r="CO44" s="1" t="str">
        <f>IF('4.Ident.Princip.Consumos'!A23="","-",'4.Ident.Princip.Consumos'!A23)</f>
        <v>-</v>
      </c>
      <c r="CR44" s="1" t="str">
        <f t="shared" si="87"/>
        <v>-</v>
      </c>
      <c r="CS44" s="1">
        <f>'4.Ident.Princip.Consumos'!D23</f>
        <v>0</v>
      </c>
      <c r="CT44" s="69">
        <f>'4.Ident.Princip.Consumos'!E23</f>
        <v>0</v>
      </c>
      <c r="CU44" t="str">
        <f t="shared" si="88"/>
        <v>-</v>
      </c>
      <c r="CW44" s="1">
        <f>'4.Ident.Princip.Consumos'!F23</f>
        <v>0</v>
      </c>
      <c r="CX44" s="1">
        <f>'4.Ident.Princip.Consumos'!G23</f>
        <v>0</v>
      </c>
      <c r="CY44" t="str">
        <f t="shared" si="89"/>
        <v>-</v>
      </c>
      <c r="CZ44" s="72" t="str">
        <f t="shared" si="85"/>
        <v>-</v>
      </c>
      <c r="DB44" t="e">
        <f t="shared" si="90"/>
        <v>#N/A</v>
      </c>
      <c r="DC44" s="73" t="e">
        <f t="shared" si="91"/>
        <v>#N/A</v>
      </c>
    </row>
    <row r="45" spans="1:107" x14ac:dyDescent="0.3">
      <c r="P45" s="186" t="s">
        <v>120</v>
      </c>
      <c r="Z45">
        <v>5500</v>
      </c>
      <c r="AA45">
        <v>44</v>
      </c>
      <c r="AC45">
        <v>300</v>
      </c>
      <c r="AE45" s="52">
        <v>46447</v>
      </c>
      <c r="AY45">
        <f t="shared" si="94"/>
        <v>0</v>
      </c>
      <c r="AZ45">
        <v>6599.32</v>
      </c>
      <c r="BA45">
        <v>953</v>
      </c>
      <c r="BB45">
        <v>9</v>
      </c>
      <c r="BC45" s="52">
        <f t="shared" si="95"/>
        <v>45418</v>
      </c>
      <c r="BD45" s="129">
        <f t="shared" si="96"/>
        <v>0</v>
      </c>
      <c r="BE45" s="131">
        <f t="shared" si="97"/>
        <v>0</v>
      </c>
      <c r="BF45" s="132">
        <f>'1.GeneralesEmpresa'!H21</f>
        <v>0</v>
      </c>
      <c r="BG45">
        <f>'1.GeneralesEmpresa'!G21</f>
        <v>0</v>
      </c>
      <c r="BH45">
        <f t="shared" si="92"/>
        <v>0</v>
      </c>
      <c r="BI45">
        <f t="shared" si="98"/>
        <v>0</v>
      </c>
      <c r="BJ45">
        <f t="shared" si="93"/>
        <v>0</v>
      </c>
      <c r="BK45" t="e">
        <f t="shared" si="99"/>
        <v>#DIV/0!</v>
      </c>
      <c r="CO45" s="1" t="str">
        <f>IF('4.Ident.Princip.Consumos'!A24="","-",'4.Ident.Princip.Consumos'!A24)</f>
        <v>-</v>
      </c>
      <c r="CR45" s="1" t="str">
        <f t="shared" si="87"/>
        <v>-</v>
      </c>
      <c r="CS45" s="1">
        <f>'4.Ident.Princip.Consumos'!D24</f>
        <v>0</v>
      </c>
      <c r="CT45" s="69">
        <f>'4.Ident.Princip.Consumos'!E24</f>
        <v>0</v>
      </c>
      <c r="CU45" t="str">
        <f t="shared" si="88"/>
        <v>-</v>
      </c>
      <c r="CW45" s="1">
        <f>'4.Ident.Princip.Consumos'!F24</f>
        <v>0</v>
      </c>
      <c r="CX45" s="1">
        <f>'4.Ident.Princip.Consumos'!G24</f>
        <v>0</v>
      </c>
      <c r="CY45" t="str">
        <f t="shared" si="89"/>
        <v>-</v>
      </c>
      <c r="CZ45" s="72" t="str">
        <f t="shared" si="85"/>
        <v>-</v>
      </c>
      <c r="DB45" t="e">
        <f t="shared" si="90"/>
        <v>#N/A</v>
      </c>
      <c r="DC45" s="73" t="e">
        <f t="shared" si="91"/>
        <v>#N/A</v>
      </c>
    </row>
    <row r="46" spans="1:107" x14ac:dyDescent="0.3">
      <c r="A46" s="154" t="str">
        <f>'1.GeneralesEmpresa'!B3</f>
        <v>Arequipa</v>
      </c>
      <c r="P46" s="186" t="s">
        <v>181</v>
      </c>
      <c r="Z46">
        <v>5750</v>
      </c>
      <c r="AA46">
        <v>45</v>
      </c>
      <c r="AC46">
        <v>325</v>
      </c>
      <c r="AE46" s="52">
        <v>46478</v>
      </c>
      <c r="AY46">
        <f t="shared" si="94"/>
        <v>0</v>
      </c>
      <c r="AZ46">
        <v>6380.1900000000005</v>
      </c>
      <c r="BA46">
        <v>784</v>
      </c>
      <c r="BB46">
        <v>10</v>
      </c>
      <c r="BC46" s="52">
        <f t="shared" si="95"/>
        <v>45449</v>
      </c>
      <c r="BD46" s="129">
        <f t="shared" si="96"/>
        <v>0</v>
      </c>
      <c r="BE46" s="131">
        <f t="shared" si="97"/>
        <v>0</v>
      </c>
      <c r="BF46" s="132">
        <f>'1.GeneralesEmpresa'!H22</f>
        <v>0</v>
      </c>
      <c r="BG46">
        <f>'1.GeneralesEmpresa'!G22</f>
        <v>0</v>
      </c>
      <c r="BH46">
        <f t="shared" si="92"/>
        <v>0</v>
      </c>
      <c r="BI46">
        <f t="shared" si="98"/>
        <v>0</v>
      </c>
      <c r="BJ46">
        <f t="shared" si="93"/>
        <v>0</v>
      </c>
      <c r="BK46" t="e">
        <f t="shared" si="99"/>
        <v>#DIV/0!</v>
      </c>
      <c r="CO46" s="1" t="str">
        <f>IF('4.Ident.Princip.Consumos'!A25="","-",'4.Ident.Princip.Consumos'!A25)</f>
        <v>-</v>
      </c>
      <c r="CR46" s="1" t="str">
        <f t="shared" si="87"/>
        <v>-</v>
      </c>
      <c r="CS46" s="1">
        <f>'4.Ident.Princip.Consumos'!D25</f>
        <v>0</v>
      </c>
      <c r="CT46" s="69">
        <f>'4.Ident.Princip.Consumos'!E25</f>
        <v>0</v>
      </c>
      <c r="CU46" t="str">
        <f t="shared" si="88"/>
        <v>-</v>
      </c>
      <c r="CW46" s="1">
        <f>'4.Ident.Princip.Consumos'!F25</f>
        <v>0</v>
      </c>
      <c r="CX46" s="1">
        <f>'4.Ident.Princip.Consumos'!G25</f>
        <v>0</v>
      </c>
      <c r="CY46" t="str">
        <f t="shared" si="89"/>
        <v>-</v>
      </c>
      <c r="CZ46" s="72" t="str">
        <f t="shared" si="85"/>
        <v>-</v>
      </c>
      <c r="DB46" t="e">
        <f t="shared" si="90"/>
        <v>#N/A</v>
      </c>
      <c r="DC46" s="73" t="e">
        <f t="shared" si="91"/>
        <v>#N/A</v>
      </c>
    </row>
    <row r="47" spans="1:107" x14ac:dyDescent="0.3">
      <c r="P47" s="186" t="s">
        <v>185</v>
      </c>
      <c r="Z47">
        <v>6000</v>
      </c>
      <c r="AA47">
        <v>46</v>
      </c>
      <c r="AC47">
        <v>350</v>
      </c>
      <c r="AE47" s="52">
        <v>46508</v>
      </c>
      <c r="AY47">
        <f t="shared" si="94"/>
        <v>0</v>
      </c>
      <c r="AZ47">
        <v>4713.1100000000006</v>
      </c>
      <c r="BA47">
        <v>952</v>
      </c>
      <c r="BB47">
        <v>11</v>
      </c>
      <c r="BC47" s="52">
        <f t="shared" si="95"/>
        <v>45480</v>
      </c>
      <c r="BD47" s="129">
        <f t="shared" si="96"/>
        <v>0</v>
      </c>
      <c r="BE47" s="131">
        <f t="shared" si="97"/>
        <v>0</v>
      </c>
      <c r="BF47" s="132">
        <f>'1.GeneralesEmpresa'!H23</f>
        <v>0</v>
      </c>
      <c r="BG47">
        <f>'1.GeneralesEmpresa'!G23</f>
        <v>0</v>
      </c>
      <c r="BH47">
        <f t="shared" si="92"/>
        <v>0</v>
      </c>
      <c r="BI47">
        <f t="shared" si="98"/>
        <v>0</v>
      </c>
      <c r="BJ47">
        <f t="shared" si="93"/>
        <v>0</v>
      </c>
      <c r="BK47" t="e">
        <f t="shared" si="99"/>
        <v>#DIV/0!</v>
      </c>
      <c r="CO47" s="1" t="str">
        <f>IF('4.Ident.Princip.Consumos'!A26="","-",'4.Ident.Princip.Consumos'!A26)</f>
        <v>-</v>
      </c>
      <c r="CR47" s="1" t="str">
        <f t="shared" si="87"/>
        <v>-</v>
      </c>
      <c r="CS47" s="1">
        <f>'4.Ident.Princip.Consumos'!D26</f>
        <v>0</v>
      </c>
      <c r="CT47" s="69">
        <f>'4.Ident.Princip.Consumos'!E26</f>
        <v>0</v>
      </c>
      <c r="CU47" t="str">
        <f t="shared" si="88"/>
        <v>-</v>
      </c>
      <c r="CW47" s="1">
        <f>'4.Ident.Princip.Consumos'!F26</f>
        <v>0</v>
      </c>
      <c r="CX47" s="1">
        <f>'4.Ident.Princip.Consumos'!G26</f>
        <v>0</v>
      </c>
      <c r="CY47" t="str">
        <f t="shared" si="89"/>
        <v>-</v>
      </c>
      <c r="CZ47" s="72" t="str">
        <f t="shared" si="85"/>
        <v>-</v>
      </c>
      <c r="DB47" t="e">
        <f t="shared" si="90"/>
        <v>#N/A</v>
      </c>
      <c r="DC47" s="73" t="e">
        <f t="shared" si="91"/>
        <v>#N/A</v>
      </c>
    </row>
    <row r="48" spans="1:107" x14ac:dyDescent="0.3">
      <c r="L48" s="167" t="s">
        <v>369</v>
      </c>
      <c r="P48" s="186" t="s">
        <v>188</v>
      </c>
      <c r="Z48">
        <v>6250</v>
      </c>
      <c r="AA48">
        <v>47</v>
      </c>
      <c r="AC48">
        <v>375</v>
      </c>
      <c r="AE48" s="52">
        <v>46539</v>
      </c>
      <c r="AY48">
        <f t="shared" si="94"/>
        <v>0</v>
      </c>
      <c r="AZ48">
        <v>2980.42</v>
      </c>
      <c r="BA48">
        <v>888</v>
      </c>
      <c r="BB48">
        <v>12</v>
      </c>
      <c r="BC48" s="52">
        <f>AO17</f>
        <v>45511</v>
      </c>
      <c r="BD48" s="129">
        <f t="shared" si="96"/>
        <v>0</v>
      </c>
      <c r="BE48" s="131">
        <f t="shared" si="97"/>
        <v>0</v>
      </c>
      <c r="BF48" s="132">
        <f>'1.GeneralesEmpresa'!H24</f>
        <v>0</v>
      </c>
      <c r="BG48">
        <f>'1.GeneralesEmpresa'!G24</f>
        <v>0</v>
      </c>
      <c r="BH48">
        <f t="shared" si="92"/>
        <v>0</v>
      </c>
      <c r="BI48">
        <f t="shared" si="98"/>
        <v>0</v>
      </c>
      <c r="BJ48">
        <f t="shared" si="93"/>
        <v>0</v>
      </c>
      <c r="BK48" t="e">
        <f t="shared" si="99"/>
        <v>#DIV/0!</v>
      </c>
      <c r="CO48" s="1" t="str">
        <f>IF('4.Ident.Princip.Consumos'!A27="","-",'4.Ident.Princip.Consumos'!A27)</f>
        <v>-</v>
      </c>
      <c r="CR48" s="1" t="str">
        <f t="shared" si="87"/>
        <v>-</v>
      </c>
      <c r="CS48" s="1">
        <f>'4.Ident.Princip.Consumos'!D27</f>
        <v>0</v>
      </c>
      <c r="CT48" s="69">
        <f>'4.Ident.Princip.Consumos'!E27</f>
        <v>0</v>
      </c>
      <c r="CU48" t="str">
        <f t="shared" si="88"/>
        <v>-</v>
      </c>
      <c r="CW48" s="1">
        <f>'4.Ident.Princip.Consumos'!F27</f>
        <v>0</v>
      </c>
      <c r="CX48" s="1">
        <f>'4.Ident.Princip.Consumos'!G27</f>
        <v>0</v>
      </c>
      <c r="CY48" t="str">
        <f t="shared" si="89"/>
        <v>-</v>
      </c>
      <c r="CZ48" s="72" t="str">
        <f t="shared" si="85"/>
        <v>-</v>
      </c>
      <c r="DB48" t="e">
        <f t="shared" si="90"/>
        <v>#N/A</v>
      </c>
      <c r="DC48" s="73" t="e">
        <f t="shared" si="91"/>
        <v>#N/A</v>
      </c>
    </row>
    <row r="49" spans="1:125" x14ac:dyDescent="0.3">
      <c r="P49" s="186" t="s">
        <v>50</v>
      </c>
      <c r="Z49">
        <v>6500</v>
      </c>
      <c r="AA49">
        <v>48</v>
      </c>
      <c r="AC49">
        <v>400</v>
      </c>
      <c r="AE49" s="52">
        <v>46569</v>
      </c>
      <c r="BC49" s="62" t="s">
        <v>116</v>
      </c>
      <c r="BD49" s="1">
        <f>SUM(BD37:BD48)</f>
        <v>0</v>
      </c>
      <c r="BE49" s="1">
        <f>SUM(BE37:BE48)</f>
        <v>0</v>
      </c>
      <c r="BF49" s="1">
        <f>SUM(BF37:BF48)</f>
        <v>0</v>
      </c>
      <c r="BG49" s="1">
        <f>SUM(BG37:BG48)</f>
        <v>0</v>
      </c>
      <c r="BH49" s="1">
        <f t="shared" ref="BH49:BJ49" si="100">SUM(BH37:BH48)</f>
        <v>0</v>
      </c>
      <c r="BI49" s="1">
        <f t="shared" si="100"/>
        <v>0</v>
      </c>
      <c r="BJ49" s="1">
        <f t="shared" si="100"/>
        <v>0</v>
      </c>
      <c r="CO49" s="1" t="str">
        <f>IF('4.Ident.Princip.Consumos'!A28="","-",'4.Ident.Princip.Consumos'!A28)</f>
        <v>-</v>
      </c>
      <c r="CR49" s="1" t="str">
        <f t="shared" si="87"/>
        <v>-</v>
      </c>
      <c r="CS49" s="1">
        <f>'4.Ident.Princip.Consumos'!D28</f>
        <v>0</v>
      </c>
      <c r="CT49" s="69">
        <f>'4.Ident.Princip.Consumos'!E28</f>
        <v>0</v>
      </c>
      <c r="CU49" t="str">
        <f t="shared" si="88"/>
        <v>-</v>
      </c>
      <c r="CW49" s="1">
        <f>'4.Ident.Princip.Consumos'!F28</f>
        <v>0</v>
      </c>
      <c r="CX49" s="1">
        <f>'4.Ident.Princip.Consumos'!G28</f>
        <v>0</v>
      </c>
      <c r="CY49" t="str">
        <f t="shared" si="89"/>
        <v>-</v>
      </c>
      <c r="CZ49" s="72" t="str">
        <f t="shared" si="85"/>
        <v>-</v>
      </c>
      <c r="DB49" t="e">
        <f t="shared" si="90"/>
        <v>#N/A</v>
      </c>
      <c r="DC49" s="73" t="e">
        <f t="shared" si="91"/>
        <v>#N/A</v>
      </c>
    </row>
    <row r="50" spans="1:125" x14ac:dyDescent="0.3">
      <c r="P50" s="186" t="s">
        <v>195</v>
      </c>
      <c r="AE50" s="52">
        <v>46600</v>
      </c>
      <c r="BC50" s="62"/>
      <c r="BD50" s="1"/>
      <c r="BE50" s="1"/>
      <c r="BF50" s="1"/>
      <c r="BG50" s="1"/>
      <c r="BH50" s="1"/>
      <c r="BI50" s="1"/>
      <c r="BJ50" s="1"/>
      <c r="CO50" s="1"/>
      <c r="CR50" s="1"/>
      <c r="CS50" s="1"/>
      <c r="CT50" s="69"/>
      <c r="CW50" s="1"/>
      <c r="CX50" s="1"/>
      <c r="CZ50" s="72"/>
      <c r="DC50" s="73"/>
    </row>
    <row r="51" spans="1:125" x14ac:dyDescent="0.3">
      <c r="B51" s="152" t="s">
        <v>363</v>
      </c>
      <c r="C51" s="153"/>
      <c r="F51" s="140" t="s">
        <v>153</v>
      </c>
      <c r="H51" s="140" t="s">
        <v>364</v>
      </c>
      <c r="J51" s="140" t="s">
        <v>211</v>
      </c>
      <c r="L51" s="140" t="s">
        <v>226</v>
      </c>
      <c r="N51" s="313" t="s">
        <v>482</v>
      </c>
      <c r="Q51" s="313" t="s">
        <v>200</v>
      </c>
      <c r="S51" s="313" t="s">
        <v>214</v>
      </c>
      <c r="U51" s="313" t="s">
        <v>483</v>
      </c>
      <c r="W51" s="313" t="s">
        <v>221</v>
      </c>
      <c r="Y51" s="313" t="s">
        <v>213</v>
      </c>
      <c r="Z51">
        <v>6750</v>
      </c>
      <c r="AA51">
        <v>49</v>
      </c>
      <c r="AC51">
        <v>425</v>
      </c>
      <c r="AE51" s="52">
        <v>46631</v>
      </c>
      <c r="BC51" s="62" t="s">
        <v>253</v>
      </c>
      <c r="BD51" s="1">
        <f>AVERAGE(BD37:BD48)</f>
        <v>0</v>
      </c>
      <c r="BE51" s="1">
        <f>AVERAGE(BE37:BE48)</f>
        <v>0</v>
      </c>
      <c r="BF51" s="1">
        <f>AVERAGE(BF37:BF48)</f>
        <v>0</v>
      </c>
      <c r="BG51" s="1">
        <f>AVERAGE(BG37:BG48)</f>
        <v>0</v>
      </c>
      <c r="BH51" s="84">
        <f>AVERAGE(BH37:BH48)</f>
        <v>0</v>
      </c>
      <c r="BI51" s="1">
        <f t="shared" ref="BI51" si="101">AVERAGE(BI37:BI48)</f>
        <v>0</v>
      </c>
      <c r="BJ51" s="84">
        <f t="shared" ref="BJ51" si="102">AVERAGE(BJ37:BJ48)</f>
        <v>0</v>
      </c>
      <c r="BN51" s="84">
        <v>405.17588114320984</v>
      </c>
      <c r="BO51">
        <v>-2199.5005737185174</v>
      </c>
      <c r="BP51" s="3">
        <v>17948.018078184639</v>
      </c>
      <c r="CO51" s="1" t="str">
        <f>IF('4.Ident.Princip.Consumos'!A29="","-",'4.Ident.Princip.Consumos'!A29)</f>
        <v>-</v>
      </c>
      <c r="CR51" s="1" t="str">
        <f t="shared" si="87"/>
        <v>-</v>
      </c>
      <c r="CS51" s="1">
        <f>'4.Ident.Princip.Consumos'!D29</f>
        <v>0</v>
      </c>
      <c r="CT51" s="69">
        <f>'4.Ident.Princip.Consumos'!E29</f>
        <v>0</v>
      </c>
      <c r="CU51" t="str">
        <f t="shared" si="88"/>
        <v>-</v>
      </c>
      <c r="CW51" s="1">
        <f>'4.Ident.Princip.Consumos'!F29</f>
        <v>0</v>
      </c>
      <c r="CX51" s="1">
        <f>'4.Ident.Princip.Consumos'!G29</f>
        <v>0</v>
      </c>
      <c r="CY51" t="str">
        <f>IFERROR(CS51*CU51*CW51*CX51*4,"-")</f>
        <v>-</v>
      </c>
      <c r="CZ51" s="72" t="str">
        <f>IFERROR(CY51/$CY$52,"-")</f>
        <v>-</v>
      </c>
      <c r="DB51" t="e">
        <f>IF(CR48="-",NA(),CR48)</f>
        <v>#N/A</v>
      </c>
      <c r="DC51" s="73" t="e">
        <f>IF(CZ48="-",NA(),CZ48)</f>
        <v>#N/A</v>
      </c>
    </row>
    <row r="52" spans="1:125" x14ac:dyDescent="0.3">
      <c r="A52" s="117" t="s">
        <v>118</v>
      </c>
      <c r="B52" s="118" t="s">
        <v>119</v>
      </c>
      <c r="E52" s="140"/>
      <c r="F52" s="143" t="s">
        <v>119</v>
      </c>
      <c r="G52" s="140"/>
      <c r="H52" s="143" t="s">
        <v>119</v>
      </c>
      <c r="I52" s="140"/>
      <c r="J52" s="143" t="s">
        <v>119</v>
      </c>
      <c r="K52" s="140"/>
      <c r="L52" s="143" t="s">
        <v>119</v>
      </c>
      <c r="N52" s="143" t="s">
        <v>119</v>
      </c>
      <c r="Q52" s="143" t="s">
        <v>119</v>
      </c>
      <c r="S52" s="143" t="s">
        <v>119</v>
      </c>
      <c r="U52" s="143" t="s">
        <v>119</v>
      </c>
      <c r="W52" s="143" t="s">
        <v>119</v>
      </c>
      <c r="Y52" s="143" t="s">
        <v>119</v>
      </c>
      <c r="Z52">
        <v>7000</v>
      </c>
      <c r="AA52">
        <v>50</v>
      </c>
      <c r="AC52">
        <v>450</v>
      </c>
      <c r="AE52" s="52">
        <v>46661</v>
      </c>
      <c r="BF52" s="116" t="s">
        <v>254</v>
      </c>
      <c r="BH52" s="129" t="e">
        <f>IF(BK58=0,BH56,BH58)</f>
        <v>#DIV/0!</v>
      </c>
      <c r="BI52" s="11" t="e">
        <f>BH52*CN20</f>
        <v>#DIV/0!</v>
      </c>
      <c r="BL52" t="s">
        <v>254</v>
      </c>
      <c r="BN52" s="129">
        <v>32.131316863824502</v>
      </c>
      <c r="BO52">
        <v>5.4293339727305785</v>
      </c>
      <c r="CO52" s="1"/>
      <c r="CY52">
        <f>SUM(CY26:CY51)</f>
        <v>0</v>
      </c>
      <c r="CZ52">
        <f>SUM(CZ26:CZ51)</f>
        <v>0</v>
      </c>
      <c r="DB52" t="e">
        <f>IF(CR49="-",NA(),CR49)</f>
        <v>#N/A</v>
      </c>
      <c r="DC52" s="73" t="e">
        <f>IF(CZ49="-",NA(),CZ49)</f>
        <v>#N/A</v>
      </c>
    </row>
    <row r="53" spans="1:125" x14ac:dyDescent="0.3">
      <c r="A53" s="36" t="s">
        <v>122</v>
      </c>
      <c r="B53" s="1">
        <f>_xlfn.XLOOKUP($A$46,$F$51:$Y$51,F53:Y53)</f>
        <v>9.48</v>
      </c>
      <c r="E53" s="140"/>
      <c r="F53" s="1">
        <v>9.48</v>
      </c>
      <c r="G53" s="140"/>
      <c r="H53" s="1">
        <v>11.17</v>
      </c>
      <c r="I53" s="140"/>
      <c r="J53" s="1">
        <v>6.65</v>
      </c>
      <c r="K53" s="140"/>
      <c r="L53" s="1">
        <v>16.25</v>
      </c>
      <c r="N53" s="1">
        <v>8.32</v>
      </c>
      <c r="Q53" s="38">
        <v>6.63</v>
      </c>
      <c r="S53" s="1">
        <v>15.23</v>
      </c>
      <c r="U53" s="1">
        <v>10.9</v>
      </c>
      <c r="W53" s="1">
        <v>13.68</v>
      </c>
      <c r="Y53" s="1">
        <v>16.13</v>
      </c>
      <c r="Z53">
        <v>7250</v>
      </c>
      <c r="AA53">
        <v>75</v>
      </c>
      <c r="AC53">
        <v>475</v>
      </c>
      <c r="AE53" s="52">
        <v>46692</v>
      </c>
      <c r="BF53" s="116" t="s">
        <v>256</v>
      </c>
      <c r="BH53" s="129" t="e">
        <f>IF(BK59=0,BH57,BH59)</f>
        <v>#DIV/0!</v>
      </c>
      <c r="BI53" s="11" t="e">
        <f>BH53*AT18</f>
        <v>#DIV/0!</v>
      </c>
      <c r="BJ53" t="e">
        <f>BI52+BI53</f>
        <v>#DIV/0!</v>
      </c>
      <c r="BL53" t="s">
        <v>256</v>
      </c>
      <c r="BN53" s="129">
        <v>0.72536335576883748</v>
      </c>
      <c r="BO53">
        <v>0.96915437790274928</v>
      </c>
      <c r="BP53">
        <v>6.3984883506333281</v>
      </c>
      <c r="CY53">
        <f>BY18</f>
        <v>0</v>
      </c>
      <c r="CZ53" s="73">
        <f>SUM(CZ26:CZ52)</f>
        <v>0</v>
      </c>
      <c r="DB53" t="e">
        <f t="shared" si="90"/>
        <v>#N/A</v>
      </c>
      <c r="DC53" s="73" t="e">
        <f t="shared" si="91"/>
        <v>#N/A</v>
      </c>
      <c r="DL53" s="66">
        <f>DB18</f>
        <v>0</v>
      </c>
    </row>
    <row r="54" spans="1:125" x14ac:dyDescent="0.3">
      <c r="A54" s="37" t="s">
        <v>127</v>
      </c>
      <c r="B54" s="1">
        <f>_xlfn.XLOOKUP($A$46,$F$51:$Y$51,F54:Y54)</f>
        <v>0.36030000000000001</v>
      </c>
      <c r="E54" s="140"/>
      <c r="F54" s="1">
        <v>0.36030000000000001</v>
      </c>
      <c r="G54" s="140"/>
      <c r="H54" s="1">
        <v>0.34010000000000001</v>
      </c>
      <c r="I54" s="140"/>
      <c r="J54" s="1">
        <v>0.36909999999999998</v>
      </c>
      <c r="K54" s="140"/>
      <c r="L54" s="1">
        <v>0.32250000000000001</v>
      </c>
      <c r="N54" s="1">
        <v>0.35980000000000001</v>
      </c>
      <c r="Q54" s="1">
        <v>0.34839999999999999</v>
      </c>
      <c r="S54" s="1">
        <v>0.38159999999999999</v>
      </c>
      <c r="U54" s="1">
        <v>0.42230000000000001</v>
      </c>
      <c r="W54" s="1">
        <v>0.35120000000000001</v>
      </c>
      <c r="Y54" s="1">
        <v>0.32350000000000001</v>
      </c>
      <c r="Z54">
        <v>7500</v>
      </c>
      <c r="AA54">
        <v>100</v>
      </c>
      <c r="AC54">
        <v>500</v>
      </c>
      <c r="AE54" s="52">
        <v>46722</v>
      </c>
      <c r="BC54" t="s">
        <v>257</v>
      </c>
      <c r="CY54">
        <f>CY53-CY52</f>
        <v>0</v>
      </c>
      <c r="CZ54" s="73">
        <f>SUM(CZ26:CZ51)</f>
        <v>0</v>
      </c>
      <c r="DB54" t="s">
        <v>255</v>
      </c>
      <c r="DC54" s="73">
        <f>CZ54</f>
        <v>0</v>
      </c>
    </row>
    <row r="55" spans="1:125" ht="14.5" thickBot="1" x14ac:dyDescent="0.35">
      <c r="A55" s="36" t="s">
        <v>136</v>
      </c>
      <c r="B55" s="1">
        <f>_xlfn.XLOOKUP($A$46,$F$51:$Y$51,F55:Y55)</f>
        <v>0.30120000000000002</v>
      </c>
      <c r="E55" s="140"/>
      <c r="F55" s="1">
        <v>0.30120000000000002</v>
      </c>
      <c r="G55" s="140"/>
      <c r="H55" s="1">
        <v>0.2853</v>
      </c>
      <c r="I55" s="140"/>
      <c r="J55" s="1">
        <v>0.31430000000000002</v>
      </c>
      <c r="K55" s="140"/>
      <c r="L55" s="1">
        <v>0.32250000000000001</v>
      </c>
      <c r="N55" s="1">
        <v>0.30430000000000001</v>
      </c>
      <c r="Q55" s="1">
        <v>0.2989</v>
      </c>
      <c r="S55" s="1">
        <v>0.30819999999999997</v>
      </c>
      <c r="U55" s="1">
        <v>0.3569</v>
      </c>
      <c r="W55" s="1">
        <v>0.29770000000000002</v>
      </c>
      <c r="Y55" s="1">
        <v>0.32350000000000001</v>
      </c>
      <c r="Z55">
        <v>7750</v>
      </c>
      <c r="AA55">
        <v>125</v>
      </c>
      <c r="AC55">
        <v>525</v>
      </c>
      <c r="AE55" s="52">
        <v>46753</v>
      </c>
      <c r="DI55" s="116" t="s">
        <v>148</v>
      </c>
      <c r="DL55" s="116" t="s">
        <v>238</v>
      </c>
      <c r="DM55" s="116" t="s">
        <v>239</v>
      </c>
      <c r="DN55" s="116"/>
      <c r="DO55" s="116" t="s">
        <v>258</v>
      </c>
      <c r="DP55" s="116"/>
      <c r="DQ55" s="116"/>
      <c r="DR55" s="116" t="s">
        <v>241</v>
      </c>
    </row>
    <row r="56" spans="1:125" ht="20" x14ac:dyDescent="0.35">
      <c r="A56" s="37" t="s">
        <v>152</v>
      </c>
      <c r="B56" s="1">
        <f>_xlfn.XLOOKUP($A$46,$F$51:$Y$51,F56:Y56)</f>
        <v>68.3</v>
      </c>
      <c r="E56" s="140"/>
      <c r="F56" s="1">
        <v>68.3</v>
      </c>
      <c r="G56" s="140"/>
      <c r="H56" s="1">
        <v>66.94</v>
      </c>
      <c r="I56" s="140"/>
      <c r="J56" s="1">
        <v>71.02</v>
      </c>
      <c r="K56" s="140"/>
      <c r="L56" s="1">
        <v>30.7</v>
      </c>
      <c r="N56" s="1">
        <v>68.430000000000007</v>
      </c>
      <c r="Q56" s="1">
        <v>75.239999999999995</v>
      </c>
      <c r="S56" s="1">
        <v>68.86</v>
      </c>
      <c r="U56" s="1">
        <v>82.19</v>
      </c>
      <c r="W56" s="1">
        <v>67.73</v>
      </c>
      <c r="Y56" s="1">
        <v>30.74</v>
      </c>
      <c r="Z56">
        <v>8000</v>
      </c>
      <c r="AA56">
        <v>150</v>
      </c>
      <c r="AC56">
        <v>550</v>
      </c>
      <c r="AE56" s="52">
        <v>46784</v>
      </c>
      <c r="BC56" s="163" t="s">
        <v>259</v>
      </c>
      <c r="BD56" s="163"/>
      <c r="BF56" s="116" t="s">
        <v>254</v>
      </c>
      <c r="BH56" t="e">
        <f>BE51/BF51</f>
        <v>#DIV/0!</v>
      </c>
      <c r="BI56" s="11" t="e">
        <f>BH56*CN20</f>
        <v>#DIV/0!</v>
      </c>
      <c r="DF56" s="1" cm="1">
        <f t="array" ref="DF56:DH56">'4.Ident.Princip.Consumos'!A36:C36</f>
        <v>0</v>
      </c>
      <c r="DG56">
        <v>0</v>
      </c>
      <c r="DH56">
        <v>0</v>
      </c>
      <c r="DI56">
        <f>'4.Ident.Princip.Consumos'!D36</f>
        <v>0</v>
      </c>
      <c r="DJ56">
        <f>'4.Ident.Princip.Consumos'!E36</f>
        <v>0</v>
      </c>
      <c r="DK56" t="str">
        <f>IFERROR(_xlfn.XLOOKUP(DJ56,$CV$21:$CV$25,$CW$21:$CW$25),"-")</f>
        <v>-</v>
      </c>
      <c r="DL56">
        <f>'4.Ident.Princip.Consumos'!D36</f>
        <v>0</v>
      </c>
      <c r="DM56">
        <f>'4.Ident.Princip.Consumos'!F36</f>
        <v>0</v>
      </c>
      <c r="DO56">
        <f>'4.Ident.Princip.Consumos'!G36</f>
        <v>0</v>
      </c>
      <c r="DR56" t="str">
        <f>IFERROR(DI56*DK56*DM56*DO56*4.34,"-")</f>
        <v>-</v>
      </c>
      <c r="DS56">
        <f>DF56</f>
        <v>0</v>
      </c>
      <c r="DT56" s="72" t="str">
        <f>IFERROR(DR56/$DR$78,"-")</f>
        <v>-</v>
      </c>
      <c r="DU56" s="73" t="e">
        <f>IF(DT56="-",NA(),DT56)</f>
        <v>#N/A</v>
      </c>
    </row>
    <row r="57" spans="1:125" ht="20" x14ac:dyDescent="0.3">
      <c r="A57" s="36" t="s">
        <v>179</v>
      </c>
      <c r="B57" s="1">
        <f t="shared" ref="B57:B117" si="103">_xlfn.XLOOKUP($A$46,$F$51:$Y$51,F57:Y57)</f>
        <v>83.72</v>
      </c>
      <c r="E57" s="140"/>
      <c r="F57" s="1">
        <v>83.72</v>
      </c>
      <c r="G57" s="140"/>
      <c r="H57" s="1">
        <v>68.12</v>
      </c>
      <c r="I57" s="140"/>
      <c r="J57" s="1">
        <v>58.28</v>
      </c>
      <c r="K57" s="140"/>
      <c r="L57" s="1">
        <v>84.63</v>
      </c>
      <c r="N57" s="1">
        <v>92.69</v>
      </c>
      <c r="Q57" s="1">
        <v>95.3</v>
      </c>
      <c r="S57" s="1">
        <v>113.2</v>
      </c>
      <c r="U57" s="1">
        <v>67.58</v>
      </c>
      <c r="W57" s="1">
        <v>68.17</v>
      </c>
      <c r="Y57" s="1">
        <v>82.66</v>
      </c>
      <c r="Z57">
        <v>8250</v>
      </c>
      <c r="AA57">
        <v>175</v>
      </c>
      <c r="AC57">
        <v>575</v>
      </c>
      <c r="AE57" s="52">
        <v>46813</v>
      </c>
      <c r="BC57" s="6" t="s">
        <v>260</v>
      </c>
      <c r="BD57" s="6">
        <v>6.4038820359106394E-2</v>
      </c>
      <c r="BF57" s="116" t="s">
        <v>256</v>
      </c>
      <c r="BH57" t="e">
        <f>BD51/BF51</f>
        <v>#DIV/0!</v>
      </c>
      <c r="BI57" s="11" t="e">
        <f>BH57*AT18</f>
        <v>#DIV/0!</v>
      </c>
      <c r="DF57" s="1" cm="1">
        <f t="array" ref="DF57:DH57">'4.Ident.Princip.Consumos'!A37:C37</f>
        <v>0</v>
      </c>
      <c r="DG57">
        <v>0</v>
      </c>
      <c r="DH57">
        <v>0</v>
      </c>
      <c r="DI57">
        <f>'4.Ident.Princip.Consumos'!D37</f>
        <v>0</v>
      </c>
      <c r="DJ57">
        <f>'4.Ident.Princip.Consumos'!E37</f>
        <v>0</v>
      </c>
      <c r="DK57" t="str">
        <f t="shared" ref="DK57:DK77" si="104">IFERROR(_xlfn.XLOOKUP(DJ57,$CV$21:$CV$25,$CW$21:$CW$25),"-")</f>
        <v>-</v>
      </c>
      <c r="DL57">
        <f>'4.Ident.Princip.Consumos'!D37</f>
        <v>0</v>
      </c>
      <c r="DM57">
        <f>'4.Ident.Princip.Consumos'!F37</f>
        <v>0</v>
      </c>
      <c r="DO57">
        <f>'4.Ident.Princip.Consumos'!G37</f>
        <v>0</v>
      </c>
      <c r="DR57" t="str">
        <f t="shared" ref="DR57:DR77" si="105">IFERROR(DI57*DK57*DM57*DO57*4.34,"-")</f>
        <v>-</v>
      </c>
      <c r="DS57">
        <f t="shared" ref="DS57:DS77" si="106">DF57</f>
        <v>0</v>
      </c>
      <c r="DT57" s="72" t="str">
        <f t="shared" ref="DT57:DT77" si="107">IFERROR(DR57/$DR$78,"-")</f>
        <v>-</v>
      </c>
      <c r="DU57" s="73" t="e">
        <f t="shared" ref="DU57:DU77" si="108">IF(DT57="-",NA(),DT57)</f>
        <v>#N/A</v>
      </c>
    </row>
    <row r="58" spans="1:125" ht="20" x14ac:dyDescent="0.3">
      <c r="A58" s="37" t="s">
        <v>183</v>
      </c>
      <c r="B58" s="332">
        <f t="shared" si="103"/>
        <v>64.09</v>
      </c>
      <c r="E58" s="140"/>
      <c r="F58" s="1">
        <v>64.09</v>
      </c>
      <c r="G58" s="140"/>
      <c r="H58" s="1">
        <v>51.21</v>
      </c>
      <c r="I58" s="140"/>
      <c r="J58" s="1">
        <v>43.31</v>
      </c>
      <c r="K58" s="140"/>
      <c r="L58" s="1">
        <v>60.74</v>
      </c>
      <c r="N58" s="1">
        <v>69.61</v>
      </c>
      <c r="Q58" s="1">
        <v>69.02</v>
      </c>
      <c r="S58" s="1">
        <v>83.31</v>
      </c>
      <c r="U58" s="1">
        <v>51.31</v>
      </c>
      <c r="W58" s="1">
        <v>52.74</v>
      </c>
      <c r="Y58" s="1">
        <v>59.31</v>
      </c>
      <c r="Z58">
        <v>8500</v>
      </c>
      <c r="AA58">
        <v>200</v>
      </c>
      <c r="AC58">
        <v>600</v>
      </c>
      <c r="AE58" s="52">
        <v>46844</v>
      </c>
      <c r="BC58" s="6" t="s">
        <v>261</v>
      </c>
      <c r="BD58" s="6">
        <v>4.1009705129859001E-3</v>
      </c>
      <c r="BH58" s="3" t="e">
        <f>BJ51/BF51</f>
        <v>#DIV/0!</v>
      </c>
      <c r="BI58" s="11" t="e">
        <f>BH58*CN20</f>
        <v>#DIV/0!</v>
      </c>
      <c r="BK58" t="e">
        <f>BH58</f>
        <v>#DIV/0!</v>
      </c>
      <c r="DF58" s="1" cm="1">
        <f t="array" ref="DF58:DH58">'4.Ident.Princip.Consumos'!A38:C38</f>
        <v>0</v>
      </c>
      <c r="DG58">
        <v>0</v>
      </c>
      <c r="DH58">
        <v>0</v>
      </c>
      <c r="DI58">
        <f>'4.Ident.Princip.Consumos'!D38</f>
        <v>0</v>
      </c>
      <c r="DJ58">
        <f>'4.Ident.Princip.Consumos'!E38</f>
        <v>0</v>
      </c>
      <c r="DK58" t="str">
        <f t="shared" si="104"/>
        <v>-</v>
      </c>
      <c r="DL58">
        <f>'4.Ident.Princip.Consumos'!D38</f>
        <v>0</v>
      </c>
      <c r="DM58">
        <f>'4.Ident.Princip.Consumos'!F38</f>
        <v>0</v>
      </c>
      <c r="DO58">
        <f>'4.Ident.Princip.Consumos'!G38</f>
        <v>0</v>
      </c>
      <c r="DR58" t="str">
        <f t="shared" si="105"/>
        <v>-</v>
      </c>
      <c r="DS58">
        <f t="shared" si="106"/>
        <v>0</v>
      </c>
      <c r="DT58" s="72" t="str">
        <f t="shared" si="107"/>
        <v>-</v>
      </c>
      <c r="DU58" s="73" t="e">
        <f t="shared" si="108"/>
        <v>#N/A</v>
      </c>
    </row>
    <row r="59" spans="1:125" ht="20" x14ac:dyDescent="0.3">
      <c r="A59" s="36" t="s">
        <v>186</v>
      </c>
      <c r="B59" s="1">
        <f t="shared" si="103"/>
        <v>4.82E-2</v>
      </c>
      <c r="E59" s="140"/>
      <c r="F59" s="1">
        <v>4.82E-2</v>
      </c>
      <c r="G59" s="140"/>
      <c r="H59" s="1">
        <v>4.82E-2</v>
      </c>
      <c r="I59" s="140"/>
      <c r="J59" s="1">
        <v>5.3699999999999998E-2</v>
      </c>
      <c r="K59" s="140"/>
      <c r="L59" s="1">
        <v>4.6699999999999998E-2</v>
      </c>
      <c r="N59" s="1">
        <v>4.8000000000000001E-2</v>
      </c>
      <c r="Q59" s="1">
        <v>5.3600000000000002E-2</v>
      </c>
      <c r="S59" s="1">
        <v>4.8000000000000001E-2</v>
      </c>
      <c r="U59" s="1">
        <v>4.8000000000000001E-2</v>
      </c>
      <c r="W59" s="1">
        <v>4.8000000000000001E-2</v>
      </c>
      <c r="Y59" s="1">
        <v>4.6699999999999998E-2</v>
      </c>
      <c r="Z59">
        <v>8750</v>
      </c>
      <c r="AA59">
        <v>225</v>
      </c>
      <c r="AC59">
        <v>625</v>
      </c>
      <c r="AE59" s="52">
        <v>46874</v>
      </c>
      <c r="BC59" s="6" t="s">
        <v>262</v>
      </c>
      <c r="BD59" s="6">
        <v>-9.5488932435715518E-2</v>
      </c>
      <c r="BH59" s="3" t="e">
        <f>BH51/BF51</f>
        <v>#DIV/0!</v>
      </c>
      <c r="BI59" s="11" t="e">
        <f>BH59*AT18</f>
        <v>#DIV/0!</v>
      </c>
      <c r="BK59" t="e">
        <f>BH59</f>
        <v>#DIV/0!</v>
      </c>
      <c r="DF59" s="1" cm="1">
        <f t="array" ref="DF59:DH59">'4.Ident.Princip.Consumos'!A39:C39</f>
        <v>0</v>
      </c>
      <c r="DG59">
        <v>0</v>
      </c>
      <c r="DH59">
        <v>0</v>
      </c>
      <c r="DI59">
        <f>'4.Ident.Princip.Consumos'!D39</f>
        <v>0</v>
      </c>
      <c r="DJ59">
        <f>'4.Ident.Princip.Consumos'!E39</f>
        <v>0</v>
      </c>
      <c r="DK59" t="str">
        <f t="shared" si="104"/>
        <v>-</v>
      </c>
      <c r="DL59">
        <f>'4.Ident.Princip.Consumos'!D39</f>
        <v>0</v>
      </c>
      <c r="DM59">
        <f>'4.Ident.Princip.Consumos'!F39</f>
        <v>0</v>
      </c>
      <c r="DO59">
        <f>'4.Ident.Princip.Consumos'!G39</f>
        <v>0</v>
      </c>
      <c r="DR59" t="str">
        <f t="shared" si="105"/>
        <v>-</v>
      </c>
      <c r="DS59">
        <f t="shared" si="106"/>
        <v>0</v>
      </c>
      <c r="DT59" s="72" t="str">
        <f t="shared" si="107"/>
        <v>-</v>
      </c>
      <c r="DU59" s="73" t="e">
        <f t="shared" si="108"/>
        <v>#N/A</v>
      </c>
    </row>
    <row r="60" spans="1:125" x14ac:dyDescent="0.3">
      <c r="A60" s="1"/>
      <c r="B60" s="1">
        <f t="shared" si="103"/>
        <v>0</v>
      </c>
      <c r="E60" s="140"/>
      <c r="F60" s="1"/>
      <c r="G60" s="140"/>
      <c r="H60" s="1"/>
      <c r="I60" s="140"/>
      <c r="J60" s="1"/>
      <c r="K60" s="140"/>
      <c r="L60" s="1"/>
      <c r="N60" s="1"/>
      <c r="Q60" s="1"/>
      <c r="S60" s="1"/>
      <c r="U60" s="1"/>
      <c r="W60" s="1"/>
      <c r="Y60" s="1"/>
      <c r="Z60">
        <v>9000</v>
      </c>
      <c r="AA60">
        <v>250</v>
      </c>
      <c r="AC60">
        <v>650</v>
      </c>
      <c r="AE60" s="52">
        <v>46905</v>
      </c>
      <c r="BC60" s="6" t="s">
        <v>263</v>
      </c>
      <c r="BD60" s="6">
        <v>239.16172786008198</v>
      </c>
      <c r="DF60" s="1" cm="1">
        <f t="array" ref="DF60:DH60">'4.Ident.Princip.Consumos'!A40:C40</f>
        <v>0</v>
      </c>
      <c r="DG60">
        <v>0</v>
      </c>
      <c r="DH60">
        <v>0</v>
      </c>
      <c r="DI60">
        <f>'4.Ident.Princip.Consumos'!D40</f>
        <v>0</v>
      </c>
      <c r="DJ60">
        <f>'4.Ident.Princip.Consumos'!E40</f>
        <v>0</v>
      </c>
      <c r="DK60" t="str">
        <f t="shared" si="104"/>
        <v>-</v>
      </c>
      <c r="DL60">
        <f>'4.Ident.Princip.Consumos'!D40</f>
        <v>0</v>
      </c>
      <c r="DM60">
        <f>'4.Ident.Princip.Consumos'!F40</f>
        <v>0</v>
      </c>
      <c r="DO60">
        <f>'4.Ident.Princip.Consumos'!G40</f>
        <v>0</v>
      </c>
      <c r="DR60" t="str">
        <f t="shared" si="105"/>
        <v>-</v>
      </c>
      <c r="DS60">
        <f t="shared" si="106"/>
        <v>0</v>
      </c>
      <c r="DT60" s="72" t="str">
        <f t="shared" si="107"/>
        <v>-</v>
      </c>
      <c r="DU60" s="73" t="e">
        <f t="shared" si="108"/>
        <v>#N/A</v>
      </c>
    </row>
    <row r="61" spans="1:125" ht="14.5" thickBot="1" x14ac:dyDescent="0.35">
      <c r="A61" s="117" t="s">
        <v>191</v>
      </c>
      <c r="B61" s="1" t="str">
        <f>_xlfn.XLOOKUP($A$46,$F$51:$Y$51,F61:Y61)</f>
        <v>BT 3</v>
      </c>
      <c r="E61" s="140"/>
      <c r="F61" s="143" t="s">
        <v>192</v>
      </c>
      <c r="G61" s="140"/>
      <c r="H61" s="143" t="s">
        <v>192</v>
      </c>
      <c r="I61" s="140"/>
      <c r="J61" s="143" t="s">
        <v>192</v>
      </c>
      <c r="K61" s="140"/>
      <c r="L61" s="143" t="s">
        <v>192</v>
      </c>
      <c r="N61" s="143" t="s">
        <v>192</v>
      </c>
      <c r="Q61" s="143" t="s">
        <v>192</v>
      </c>
      <c r="S61" s="143" t="s">
        <v>192</v>
      </c>
      <c r="U61" s="143" t="s">
        <v>192</v>
      </c>
      <c r="W61" s="143" t="s">
        <v>192</v>
      </c>
      <c r="Y61" s="143" t="s">
        <v>192</v>
      </c>
      <c r="Z61">
        <v>9250</v>
      </c>
      <c r="AA61">
        <v>275</v>
      </c>
      <c r="AC61">
        <v>675</v>
      </c>
      <c r="AE61" s="52">
        <v>46935</v>
      </c>
      <c r="BC61" s="26" t="s">
        <v>15</v>
      </c>
      <c r="BD61" s="26">
        <v>12</v>
      </c>
      <c r="DF61" s="1" cm="1">
        <f t="array" ref="DF61:DH61">'4.Ident.Princip.Consumos'!A41:C41</f>
        <v>0</v>
      </c>
      <c r="DG61">
        <v>0</v>
      </c>
      <c r="DH61">
        <v>0</v>
      </c>
      <c r="DI61">
        <f>'4.Ident.Princip.Consumos'!D41</f>
        <v>0</v>
      </c>
      <c r="DJ61">
        <f>'4.Ident.Princip.Consumos'!E41</f>
        <v>0</v>
      </c>
      <c r="DK61" t="str">
        <f t="shared" si="104"/>
        <v>-</v>
      </c>
      <c r="DL61">
        <f>'4.Ident.Princip.Consumos'!D41</f>
        <v>0</v>
      </c>
      <c r="DM61">
        <f>'4.Ident.Princip.Consumos'!F41</f>
        <v>0</v>
      </c>
      <c r="DO61">
        <f>'4.Ident.Princip.Consumos'!G41</f>
        <v>0</v>
      </c>
      <c r="DR61" t="str">
        <f t="shared" si="105"/>
        <v>-</v>
      </c>
      <c r="DS61">
        <f t="shared" si="106"/>
        <v>0</v>
      </c>
      <c r="DT61" s="72" t="str">
        <f t="shared" si="107"/>
        <v>-</v>
      </c>
      <c r="DU61" s="73" t="e">
        <f t="shared" si="108"/>
        <v>#N/A</v>
      </c>
    </row>
    <row r="62" spans="1:125" x14ac:dyDescent="0.3">
      <c r="A62" s="36" t="s">
        <v>122</v>
      </c>
      <c r="B62" s="1">
        <f>_xlfn.XLOOKUP($A$46,$F$51:$Y$51,F62:Y62)</f>
        <v>9.48</v>
      </c>
      <c r="E62" s="140"/>
      <c r="F62" s="1">
        <v>9.48</v>
      </c>
      <c r="G62" s="140"/>
      <c r="H62" s="1">
        <v>10.79</v>
      </c>
      <c r="I62" s="140"/>
      <c r="J62" s="1">
        <v>5.72</v>
      </c>
      <c r="K62" s="140"/>
      <c r="L62" s="1">
        <v>13.64</v>
      </c>
      <c r="N62" s="1">
        <v>8.4</v>
      </c>
      <c r="Q62" s="1">
        <v>5.41</v>
      </c>
      <c r="S62" s="1">
        <v>13.96</v>
      </c>
      <c r="U62" s="1">
        <v>9.9499999999999993</v>
      </c>
      <c r="W62" s="1">
        <v>10.210000000000001</v>
      </c>
      <c r="Y62" s="1">
        <v>13.54</v>
      </c>
      <c r="Z62">
        <v>9500</v>
      </c>
      <c r="AA62">
        <v>300</v>
      </c>
      <c r="AC62">
        <v>700</v>
      </c>
      <c r="AE62" s="52">
        <v>46966</v>
      </c>
      <c r="DF62" s="1" cm="1">
        <f t="array" ref="DF62:DH62">'4.Ident.Princip.Consumos'!A42:C42</f>
        <v>0</v>
      </c>
      <c r="DG62">
        <v>0</v>
      </c>
      <c r="DH62">
        <v>0</v>
      </c>
      <c r="DI62">
        <f>'4.Ident.Princip.Consumos'!D42</f>
        <v>0</v>
      </c>
      <c r="DJ62">
        <f>'4.Ident.Princip.Consumos'!E42</f>
        <v>0</v>
      </c>
      <c r="DK62" t="str">
        <f t="shared" si="104"/>
        <v>-</v>
      </c>
      <c r="DL62">
        <f>'4.Ident.Princip.Consumos'!D42</f>
        <v>0</v>
      </c>
      <c r="DM62">
        <f>'4.Ident.Princip.Consumos'!F42</f>
        <v>0</v>
      </c>
      <c r="DN62" s="116"/>
      <c r="DO62">
        <f>'4.Ident.Princip.Consumos'!G42</f>
        <v>0</v>
      </c>
      <c r="DR62" t="str">
        <f t="shared" si="105"/>
        <v>-</v>
      </c>
      <c r="DS62">
        <f t="shared" si="106"/>
        <v>0</v>
      </c>
      <c r="DT62" s="72" t="str">
        <f t="shared" si="107"/>
        <v>-</v>
      </c>
      <c r="DU62" s="73" t="e">
        <f t="shared" si="108"/>
        <v>#N/A</v>
      </c>
    </row>
    <row r="63" spans="1:125" ht="14.5" thickBot="1" x14ac:dyDescent="0.35">
      <c r="A63" s="37" t="s">
        <v>127</v>
      </c>
      <c r="B63" s="1">
        <f>_xlfn.XLOOKUP($A$46,$F$51:$Y$51,F63:Y63)</f>
        <v>0.36030000000000001</v>
      </c>
      <c r="E63" s="140"/>
      <c r="F63" s="1">
        <v>0.36030000000000001</v>
      </c>
      <c r="G63" s="140"/>
      <c r="H63" s="1">
        <v>0.34010000000000001</v>
      </c>
      <c r="I63" s="140"/>
      <c r="J63" s="1">
        <v>0.36909999999999998</v>
      </c>
      <c r="K63" s="140"/>
      <c r="L63" s="1">
        <v>0.32250000000000001</v>
      </c>
      <c r="N63" s="1">
        <v>0.35980000000000001</v>
      </c>
      <c r="Q63" s="1">
        <v>0.34839999999999999</v>
      </c>
      <c r="S63" s="1">
        <v>0.38159999999999999</v>
      </c>
      <c r="U63" s="1">
        <v>0.42230000000000001</v>
      </c>
      <c r="W63" s="1">
        <v>0.35120000000000001</v>
      </c>
      <c r="Y63" s="1">
        <v>0.32350000000000001</v>
      </c>
      <c r="Z63">
        <v>9750</v>
      </c>
      <c r="AA63">
        <v>325</v>
      </c>
      <c r="AC63">
        <v>725</v>
      </c>
      <c r="AE63" s="52">
        <v>46997</v>
      </c>
      <c r="BC63" t="s">
        <v>264</v>
      </c>
      <c r="DF63" s="1" cm="1">
        <f t="array" ref="DF63:DH63">'4.Ident.Princip.Consumos'!A43:C43</f>
        <v>0</v>
      </c>
      <c r="DG63">
        <v>0</v>
      </c>
      <c r="DH63">
        <v>0</v>
      </c>
      <c r="DI63">
        <f>'4.Ident.Princip.Consumos'!D43</f>
        <v>0</v>
      </c>
      <c r="DJ63">
        <f>'4.Ident.Princip.Consumos'!E43</f>
        <v>0</v>
      </c>
      <c r="DK63" t="str">
        <f t="shared" si="104"/>
        <v>-</v>
      </c>
      <c r="DL63">
        <f>'4.Ident.Princip.Consumos'!D43</f>
        <v>0</v>
      </c>
      <c r="DM63">
        <f>'4.Ident.Princip.Consumos'!F43</f>
        <v>0</v>
      </c>
      <c r="DO63">
        <f>'4.Ident.Princip.Consumos'!G43</f>
        <v>0</v>
      </c>
      <c r="DR63" t="str">
        <f t="shared" si="105"/>
        <v>-</v>
      </c>
      <c r="DS63">
        <f t="shared" si="106"/>
        <v>0</v>
      </c>
      <c r="DT63" s="72" t="str">
        <f t="shared" si="107"/>
        <v>-</v>
      </c>
      <c r="DU63" s="73" t="e">
        <f t="shared" si="108"/>
        <v>#N/A</v>
      </c>
    </row>
    <row r="64" spans="1:125" ht="14.5" x14ac:dyDescent="0.35">
      <c r="A64" s="36" t="s">
        <v>136</v>
      </c>
      <c r="B64" s="1">
        <f t="shared" si="103"/>
        <v>0.30120000000000002</v>
      </c>
      <c r="E64" s="140"/>
      <c r="F64" s="1">
        <v>0.30120000000000002</v>
      </c>
      <c r="G64" s="140"/>
      <c r="H64" s="1">
        <v>0.2853</v>
      </c>
      <c r="I64" s="140"/>
      <c r="J64" s="1">
        <v>0.31430000000000002</v>
      </c>
      <c r="K64" s="140"/>
      <c r="L64" s="1">
        <v>0.32250000000000001</v>
      </c>
      <c r="N64" s="1">
        <v>0.30430000000000001</v>
      </c>
      <c r="Q64" s="1">
        <v>0.2989</v>
      </c>
      <c r="S64" s="1">
        <v>0.30819999999999997</v>
      </c>
      <c r="U64" s="1">
        <v>0.3569</v>
      </c>
      <c r="W64" s="1">
        <v>0.29770000000000002</v>
      </c>
      <c r="Y64" s="1">
        <v>0.32350000000000001</v>
      </c>
      <c r="AA64">
        <v>350</v>
      </c>
      <c r="AE64" s="52">
        <v>47027</v>
      </c>
      <c r="BC64" s="162"/>
      <c r="BD64" s="162" t="s">
        <v>265</v>
      </c>
      <c r="BE64" s="162" t="s">
        <v>266</v>
      </c>
      <c r="BF64" s="162" t="s">
        <v>267</v>
      </c>
      <c r="BG64" s="162" t="s">
        <v>268</v>
      </c>
      <c r="BH64" s="162" t="s">
        <v>269</v>
      </c>
      <c r="DF64" s="1" cm="1">
        <f t="array" ref="DF64:DH64">'4.Ident.Princip.Consumos'!A44:C44</f>
        <v>0</v>
      </c>
      <c r="DG64">
        <v>0</v>
      </c>
      <c r="DH64">
        <v>0</v>
      </c>
      <c r="DI64">
        <f>'4.Ident.Princip.Consumos'!D44</f>
        <v>0</v>
      </c>
      <c r="DJ64">
        <f>'4.Ident.Princip.Consumos'!E44</f>
        <v>0</v>
      </c>
      <c r="DK64" t="str">
        <f t="shared" si="104"/>
        <v>-</v>
      </c>
      <c r="DL64">
        <f>'4.Ident.Princip.Consumos'!D44</f>
        <v>0</v>
      </c>
      <c r="DM64">
        <f>'4.Ident.Princip.Consumos'!F44</f>
        <v>0</v>
      </c>
      <c r="DO64">
        <f>'4.Ident.Princip.Consumos'!G44</f>
        <v>0</v>
      </c>
      <c r="DR64" t="str">
        <f t="shared" si="105"/>
        <v>-</v>
      </c>
      <c r="DS64">
        <f t="shared" si="106"/>
        <v>0</v>
      </c>
      <c r="DT64" s="72" t="str">
        <f t="shared" si="107"/>
        <v>-</v>
      </c>
      <c r="DU64" s="73" t="e">
        <f t="shared" si="108"/>
        <v>#N/A</v>
      </c>
    </row>
    <row r="65" spans="1:125" ht="20" x14ac:dyDescent="0.3">
      <c r="A65" s="37" t="s">
        <v>204</v>
      </c>
      <c r="B65" s="1">
        <f>_xlfn.XLOOKUP($A$46,$F$51:$Y$51,F65:Y65)</f>
        <v>0</v>
      </c>
      <c r="D65" s="116"/>
      <c r="E65" s="140"/>
      <c r="F65" s="1"/>
      <c r="G65" s="140"/>
      <c r="H65" s="1"/>
      <c r="I65" s="140"/>
      <c r="J65" s="1"/>
      <c r="K65" s="140"/>
      <c r="L65" s="1"/>
      <c r="M65" s="116"/>
      <c r="N65" s="1"/>
      <c r="Q65" s="1"/>
      <c r="S65" s="1"/>
      <c r="U65" s="1"/>
      <c r="W65" s="1"/>
      <c r="Y65" s="1"/>
      <c r="AA65">
        <v>375</v>
      </c>
      <c r="AE65" s="52">
        <v>47058</v>
      </c>
      <c r="BC65" s="6" t="s">
        <v>270</v>
      </c>
      <c r="BD65" s="6">
        <v>1</v>
      </c>
      <c r="BE65" s="6">
        <v>2355.3459364676382</v>
      </c>
      <c r="BF65" s="6">
        <v>2355.3459364676382</v>
      </c>
      <c r="BG65" s="6">
        <v>4.1178577260972959E-2</v>
      </c>
      <c r="BH65" s="6">
        <v>0.84326301739280085</v>
      </c>
      <c r="DF65" s="1" cm="1">
        <f t="array" ref="DF65:DH65">'4.Ident.Princip.Consumos'!A45:C45</f>
        <v>0</v>
      </c>
      <c r="DG65">
        <v>0</v>
      </c>
      <c r="DH65">
        <v>0</v>
      </c>
      <c r="DI65">
        <f>'4.Ident.Princip.Consumos'!D45</f>
        <v>0</v>
      </c>
      <c r="DJ65">
        <f>'4.Ident.Princip.Consumos'!E45</f>
        <v>0</v>
      </c>
      <c r="DK65" t="str">
        <f t="shared" si="104"/>
        <v>-</v>
      </c>
      <c r="DL65">
        <f>'4.Ident.Princip.Consumos'!D45</f>
        <v>0</v>
      </c>
      <c r="DM65">
        <f>'4.Ident.Princip.Consumos'!F45</f>
        <v>0</v>
      </c>
      <c r="DO65">
        <f>'4.Ident.Princip.Consumos'!G45</f>
        <v>0</v>
      </c>
      <c r="DR65" t="str">
        <f t="shared" si="105"/>
        <v>-</v>
      </c>
      <c r="DS65">
        <f t="shared" si="106"/>
        <v>0</v>
      </c>
      <c r="DT65" s="72" t="str">
        <f t="shared" si="107"/>
        <v>-</v>
      </c>
      <c r="DU65" s="73" t="e">
        <f t="shared" si="108"/>
        <v>#N/A</v>
      </c>
    </row>
    <row r="66" spans="1:125" x14ac:dyDescent="0.3">
      <c r="A66" s="36" t="s">
        <v>206</v>
      </c>
      <c r="B66" s="1">
        <f>_xlfn.XLOOKUP($A$46,$F$51:$Y$51,F66:Y66)</f>
        <v>50.39</v>
      </c>
      <c r="E66" s="140"/>
      <c r="F66" s="1">
        <v>50.39</v>
      </c>
      <c r="G66" s="140"/>
      <c r="H66" s="1">
        <v>48.79</v>
      </c>
      <c r="I66" s="140"/>
      <c r="J66" s="1">
        <v>62.74</v>
      </c>
      <c r="K66" s="140"/>
      <c r="L66" s="1">
        <v>21.73</v>
      </c>
      <c r="N66" s="1">
        <v>50.72</v>
      </c>
      <c r="Q66" s="1">
        <v>62.63</v>
      </c>
      <c r="S66" s="1">
        <v>48.2</v>
      </c>
      <c r="U66" s="1">
        <v>60.67</v>
      </c>
      <c r="W66" s="1">
        <v>49.03</v>
      </c>
      <c r="Y66" s="1">
        <v>21.76</v>
      </c>
      <c r="AA66">
        <v>400</v>
      </c>
      <c r="AC66">
        <v>800</v>
      </c>
      <c r="AE66" s="52">
        <v>47088</v>
      </c>
      <c r="BC66" s="6" t="s">
        <v>271</v>
      </c>
      <c r="BD66" s="6">
        <v>10</v>
      </c>
      <c r="BE66" s="6">
        <v>571983.32073019911</v>
      </c>
      <c r="BF66" s="6">
        <v>57198.332073019912</v>
      </c>
      <c r="BG66" s="6"/>
      <c r="BH66" s="6"/>
      <c r="DF66" s="1" cm="1">
        <f t="array" ref="DF66:DH66">'4.Ident.Princip.Consumos'!A46:C46</f>
        <v>0</v>
      </c>
      <c r="DG66">
        <v>0</v>
      </c>
      <c r="DH66">
        <v>0</v>
      </c>
      <c r="DI66">
        <f>'4.Ident.Princip.Consumos'!D46</f>
        <v>0</v>
      </c>
      <c r="DJ66">
        <f>'4.Ident.Princip.Consumos'!E46</f>
        <v>0</v>
      </c>
      <c r="DK66" t="str">
        <f t="shared" si="104"/>
        <v>-</v>
      </c>
      <c r="DL66">
        <f>'4.Ident.Princip.Consumos'!D46</f>
        <v>0</v>
      </c>
      <c r="DM66">
        <f>'4.Ident.Princip.Consumos'!F46</f>
        <v>0</v>
      </c>
      <c r="DO66">
        <f>'4.Ident.Princip.Consumos'!G46</f>
        <v>0</v>
      </c>
      <c r="DR66" t="str">
        <f t="shared" si="105"/>
        <v>-</v>
      </c>
      <c r="DS66">
        <f t="shared" si="106"/>
        <v>0</v>
      </c>
      <c r="DT66" s="72" t="str">
        <f t="shared" si="107"/>
        <v>-</v>
      </c>
      <c r="DU66" s="73" t="e">
        <f t="shared" si="108"/>
        <v>#N/A</v>
      </c>
    </row>
    <row r="67" spans="1:125" ht="14.5" thickBot="1" x14ac:dyDescent="0.35">
      <c r="A67" s="37" t="s">
        <v>209</v>
      </c>
      <c r="B67" s="1">
        <f>_xlfn.XLOOKUP($A$46,$F$51:$Y$51,F67:Y67)</f>
        <v>46.23</v>
      </c>
      <c r="E67" s="140"/>
      <c r="F67" s="1">
        <v>46.23</v>
      </c>
      <c r="G67" s="140"/>
      <c r="H67" s="1">
        <v>45.25</v>
      </c>
      <c r="I67" s="140"/>
      <c r="J67" s="1">
        <v>45.3</v>
      </c>
      <c r="K67" s="140"/>
      <c r="L67" s="1">
        <v>20.81</v>
      </c>
      <c r="N67" s="1">
        <v>46.26</v>
      </c>
      <c r="Q67" s="1">
        <v>42.89</v>
      </c>
      <c r="S67" s="1">
        <v>46.66</v>
      </c>
      <c r="U67" s="1">
        <v>55.54</v>
      </c>
      <c r="W67" s="1">
        <v>45.91</v>
      </c>
      <c r="Y67" s="1">
        <v>20.84</v>
      </c>
      <c r="AA67">
        <v>425</v>
      </c>
      <c r="AC67">
        <v>825</v>
      </c>
      <c r="AE67" s="52">
        <v>47119</v>
      </c>
      <c r="BC67" s="26" t="s">
        <v>116</v>
      </c>
      <c r="BD67" s="26">
        <v>11</v>
      </c>
      <c r="BE67" s="26">
        <v>574338.66666666674</v>
      </c>
      <c r="BF67" s="26"/>
      <c r="BG67" s="26"/>
      <c r="BH67" s="26"/>
      <c r="DF67" s="1" cm="1">
        <f t="array" ref="DF67:DH67">'4.Ident.Princip.Consumos'!A47:C47</f>
        <v>0</v>
      </c>
      <c r="DG67">
        <v>0</v>
      </c>
      <c r="DH67">
        <v>0</v>
      </c>
      <c r="DI67">
        <f>'4.Ident.Princip.Consumos'!D47</f>
        <v>0</v>
      </c>
      <c r="DJ67">
        <f>'4.Ident.Princip.Consumos'!E47</f>
        <v>0</v>
      </c>
      <c r="DK67" t="str">
        <f t="shared" si="104"/>
        <v>-</v>
      </c>
      <c r="DL67">
        <f>'4.Ident.Princip.Consumos'!D47</f>
        <v>0</v>
      </c>
      <c r="DM67">
        <f>'4.Ident.Princip.Consumos'!F47</f>
        <v>0</v>
      </c>
      <c r="DO67">
        <f>'4.Ident.Princip.Consumos'!G47</f>
        <v>0</v>
      </c>
      <c r="DR67" t="str">
        <f t="shared" si="105"/>
        <v>-</v>
      </c>
      <c r="DS67">
        <f t="shared" si="106"/>
        <v>0</v>
      </c>
      <c r="DT67" s="72" t="str">
        <f t="shared" si="107"/>
        <v>-</v>
      </c>
      <c r="DU67" s="73" t="e">
        <f t="shared" si="108"/>
        <v>#N/A</v>
      </c>
    </row>
    <row r="68" spans="1:125" ht="20.5" thickBot="1" x14ac:dyDescent="0.35">
      <c r="A68" s="36" t="s">
        <v>212</v>
      </c>
      <c r="B68" s="1">
        <f t="shared" si="103"/>
        <v>0</v>
      </c>
      <c r="E68" s="140"/>
      <c r="F68" s="1"/>
      <c r="G68" s="140"/>
      <c r="H68" s="1"/>
      <c r="I68" s="140"/>
      <c r="J68" s="1"/>
      <c r="K68" s="140"/>
      <c r="L68" s="1"/>
      <c r="N68" s="1"/>
      <c r="Q68" s="1"/>
      <c r="S68" s="1"/>
      <c r="U68" s="1"/>
      <c r="W68" s="1"/>
      <c r="Y68" s="1"/>
      <c r="AA68">
        <v>450</v>
      </c>
      <c r="AC68">
        <v>850</v>
      </c>
      <c r="AE68" s="52">
        <v>47150</v>
      </c>
      <c r="DF68" s="1" cm="1">
        <f t="array" ref="DF68:DH68">'4.Ident.Princip.Consumos'!A48:C48</f>
        <v>0</v>
      </c>
      <c r="DG68">
        <v>0</v>
      </c>
      <c r="DH68">
        <v>0</v>
      </c>
      <c r="DI68">
        <f>'4.Ident.Princip.Consumos'!D48</f>
        <v>0</v>
      </c>
      <c r="DJ68">
        <f>'4.Ident.Princip.Consumos'!E48</f>
        <v>0</v>
      </c>
      <c r="DK68" t="str">
        <f t="shared" si="104"/>
        <v>-</v>
      </c>
      <c r="DL68">
        <f>'4.Ident.Princip.Consumos'!D48</f>
        <v>0</v>
      </c>
      <c r="DM68">
        <f>'4.Ident.Princip.Consumos'!F48</f>
        <v>0</v>
      </c>
      <c r="DO68">
        <f>'4.Ident.Princip.Consumos'!G48</f>
        <v>0</v>
      </c>
      <c r="DR68" t="str">
        <f t="shared" si="105"/>
        <v>-</v>
      </c>
      <c r="DS68">
        <f t="shared" si="106"/>
        <v>0</v>
      </c>
      <c r="DT68" s="72" t="str">
        <f t="shared" si="107"/>
        <v>-</v>
      </c>
      <c r="DU68" s="73" t="e">
        <f t="shared" si="108"/>
        <v>#N/A</v>
      </c>
    </row>
    <row r="69" spans="1:125" ht="14.5" x14ac:dyDescent="0.35">
      <c r="A69" s="37" t="s">
        <v>206</v>
      </c>
      <c r="B69" s="332">
        <f>_xlfn.XLOOKUP($A$46,$F$51:$Y$51,F69:Y69)</f>
        <v>83.43</v>
      </c>
      <c r="E69" s="140"/>
      <c r="F69" s="1">
        <v>83.43</v>
      </c>
      <c r="G69" s="140"/>
      <c r="H69" s="1">
        <v>67.22</v>
      </c>
      <c r="I69" s="140"/>
      <c r="J69" s="1">
        <v>57.9</v>
      </c>
      <c r="K69" s="140"/>
      <c r="L69" s="1">
        <v>81.62</v>
      </c>
      <c r="N69" s="1">
        <v>91.86</v>
      </c>
      <c r="Q69" s="1">
        <v>94.19</v>
      </c>
      <c r="S69" s="1">
        <v>109.75</v>
      </c>
      <c r="U69" s="1">
        <v>67.13</v>
      </c>
      <c r="W69" s="1">
        <v>67.849999999999994</v>
      </c>
      <c r="Y69" s="1">
        <v>79.72</v>
      </c>
      <c r="AA69">
        <v>475</v>
      </c>
      <c r="AC69">
        <v>875</v>
      </c>
      <c r="AE69" s="52">
        <v>47178</v>
      </c>
      <c r="BC69" s="162"/>
      <c r="BD69" s="162" t="s">
        <v>272</v>
      </c>
      <c r="BE69" s="162" t="s">
        <v>263</v>
      </c>
      <c r="BF69" s="162" t="s">
        <v>273</v>
      </c>
      <c r="BG69" s="162" t="s">
        <v>274</v>
      </c>
      <c r="BH69" s="162" t="s">
        <v>275</v>
      </c>
      <c r="BI69" s="162" t="s">
        <v>276</v>
      </c>
      <c r="BJ69" s="162" t="s">
        <v>328</v>
      </c>
      <c r="BK69" s="162" t="s">
        <v>329</v>
      </c>
      <c r="DF69" s="1" cm="1">
        <f t="array" ref="DF69:DH69">'4.Ident.Princip.Consumos'!A49:C49</f>
        <v>0</v>
      </c>
      <c r="DG69">
        <v>0</v>
      </c>
      <c r="DH69">
        <v>0</v>
      </c>
      <c r="DI69">
        <f>'4.Ident.Princip.Consumos'!D49</f>
        <v>0</v>
      </c>
      <c r="DJ69">
        <f>'4.Ident.Princip.Consumos'!E49</f>
        <v>0</v>
      </c>
      <c r="DK69" t="str">
        <f t="shared" si="104"/>
        <v>-</v>
      </c>
      <c r="DL69">
        <f>'4.Ident.Princip.Consumos'!D49</f>
        <v>0</v>
      </c>
      <c r="DM69">
        <f>'4.Ident.Princip.Consumos'!F49</f>
        <v>0</v>
      </c>
      <c r="DO69">
        <f>'4.Ident.Princip.Consumos'!G49</f>
        <v>0</v>
      </c>
      <c r="DR69" t="str">
        <f t="shared" si="105"/>
        <v>-</v>
      </c>
      <c r="DS69">
        <f t="shared" si="106"/>
        <v>0</v>
      </c>
      <c r="DT69" s="72" t="str">
        <f t="shared" si="107"/>
        <v>-</v>
      </c>
      <c r="DU69" s="73" t="e">
        <f t="shared" si="108"/>
        <v>#N/A</v>
      </c>
    </row>
    <row r="70" spans="1:125" x14ac:dyDescent="0.3">
      <c r="A70" s="36" t="s">
        <v>209</v>
      </c>
      <c r="B70" s="1">
        <f>_xlfn.XLOOKUP($A$46,$F$51:$Y$51,F70:Y70)</f>
        <v>80.260000000000005</v>
      </c>
      <c r="E70" s="140"/>
      <c r="F70" s="1">
        <v>80.260000000000005</v>
      </c>
      <c r="G70" s="140"/>
      <c r="H70" s="1">
        <v>64.78</v>
      </c>
      <c r="I70" s="140"/>
      <c r="J70" s="1">
        <v>53.31</v>
      </c>
      <c r="K70" s="140"/>
      <c r="L70" s="1">
        <v>79.11</v>
      </c>
      <c r="N70" s="318">
        <v>88.09</v>
      </c>
      <c r="Q70" s="1">
        <v>85.78</v>
      </c>
      <c r="S70" s="1">
        <v>106.86</v>
      </c>
      <c r="U70" s="1">
        <v>64.510000000000005</v>
      </c>
      <c r="W70" s="1">
        <v>65.680000000000007</v>
      </c>
      <c r="Y70" s="1">
        <v>77.27</v>
      </c>
      <c r="AA70">
        <v>500</v>
      </c>
      <c r="AC70">
        <v>900</v>
      </c>
      <c r="AE70" s="52">
        <v>47209</v>
      </c>
      <c r="BC70" s="6" t="s">
        <v>277</v>
      </c>
      <c r="BD70" s="6">
        <f>'5. Ecuación'!J10</f>
        <v>0</v>
      </c>
      <c r="BE70" s="6">
        <v>144.11813855770768</v>
      </c>
      <c r="BF70" s="6">
        <v>3.2774340647449658</v>
      </c>
      <c r="BG70" s="6">
        <v>8.3249822659621827E-3</v>
      </c>
      <c r="BH70" s="6">
        <v>151.22247286029648</v>
      </c>
      <c r="BI70" s="6">
        <v>793.45292045303563</v>
      </c>
      <c r="BJ70" s="6">
        <v>151.22247286029648</v>
      </c>
      <c r="BK70" s="6">
        <v>793.45292045303563</v>
      </c>
      <c r="DF70" s="1" cm="1">
        <f t="array" ref="DF70:DH70">'4.Ident.Princip.Consumos'!A50:C50</f>
        <v>0</v>
      </c>
      <c r="DG70">
        <v>0</v>
      </c>
      <c r="DH70">
        <v>0</v>
      </c>
      <c r="DI70">
        <f>'4.Ident.Princip.Consumos'!D50</f>
        <v>0</v>
      </c>
      <c r="DJ70">
        <f>'4.Ident.Princip.Consumos'!E50</f>
        <v>0</v>
      </c>
      <c r="DK70" t="str">
        <f t="shared" si="104"/>
        <v>-</v>
      </c>
      <c r="DL70">
        <f>'4.Ident.Princip.Consumos'!D50</f>
        <v>0</v>
      </c>
      <c r="DM70">
        <f>'4.Ident.Princip.Consumos'!F50</f>
        <v>0</v>
      </c>
      <c r="DO70">
        <f>'4.Ident.Princip.Consumos'!G50</f>
        <v>0</v>
      </c>
      <c r="DR70" t="str">
        <f t="shared" si="105"/>
        <v>-</v>
      </c>
      <c r="DS70">
        <f t="shared" si="106"/>
        <v>0</v>
      </c>
      <c r="DT70" s="72" t="str">
        <f t="shared" si="107"/>
        <v>-</v>
      </c>
      <c r="DU70" s="73" t="e">
        <f t="shared" si="108"/>
        <v>#N/A</v>
      </c>
    </row>
    <row r="71" spans="1:125" ht="20.5" thickBot="1" x14ac:dyDescent="0.35">
      <c r="A71" s="37" t="s">
        <v>186</v>
      </c>
      <c r="B71" s="1">
        <f>_xlfn.XLOOKUP($A$46,$F$51:$Y$51,F71:Y71)</f>
        <v>4.82E-2</v>
      </c>
      <c r="E71" s="140"/>
      <c r="F71" s="1">
        <v>4.82E-2</v>
      </c>
      <c r="G71" s="140"/>
      <c r="H71" s="1">
        <v>5.4199999999999998E-2</v>
      </c>
      <c r="I71" s="140"/>
      <c r="J71" s="1">
        <v>5.3699999999999998E-2</v>
      </c>
      <c r="K71" s="140"/>
      <c r="L71" s="1">
        <v>4.6699999999999998E-2</v>
      </c>
      <c r="N71" s="1">
        <v>4.8000000000000001E-2</v>
      </c>
      <c r="Q71" s="1">
        <v>5.3600000000000002E-2</v>
      </c>
      <c r="S71" s="1">
        <v>4.8000000000000001E-2</v>
      </c>
      <c r="U71" s="1">
        <v>4.8000000000000001E-2</v>
      </c>
      <c r="W71" s="1">
        <v>4.8000000000000001E-2</v>
      </c>
      <c r="Y71" s="1">
        <v>4.6699999999999998E-2</v>
      </c>
      <c r="AA71">
        <v>525</v>
      </c>
      <c r="AC71">
        <v>925</v>
      </c>
      <c r="AE71" s="52">
        <v>47239</v>
      </c>
      <c r="BC71" s="26" t="s">
        <v>278</v>
      </c>
      <c r="BD71" s="26">
        <f>'5. Ecuación'!I10</f>
        <v>0</v>
      </c>
      <c r="BE71" s="26">
        <v>0.68442730866274348</v>
      </c>
      <c r="BF71" s="26">
        <v>-0.20292505331025529</v>
      </c>
      <c r="BG71" s="26">
        <v>0.84326301739280651</v>
      </c>
      <c r="BH71" s="26">
        <v>-1.6638865258892426</v>
      </c>
      <c r="BI71" s="26">
        <v>1.3861116296944789</v>
      </c>
      <c r="BJ71" s="26">
        <v>-1.6638865258892426</v>
      </c>
      <c r="BK71" s="26">
        <v>1.3861116296944789</v>
      </c>
      <c r="DF71" s="1" cm="1">
        <f t="array" ref="DF71:DH71">'4.Ident.Princip.Consumos'!A51:C51</f>
        <v>0</v>
      </c>
      <c r="DG71">
        <v>0</v>
      </c>
      <c r="DH71">
        <v>0</v>
      </c>
      <c r="DI71">
        <f>'4.Ident.Princip.Consumos'!D51</f>
        <v>0</v>
      </c>
      <c r="DJ71">
        <f>'4.Ident.Princip.Consumos'!E51</f>
        <v>0</v>
      </c>
      <c r="DK71" t="str">
        <f t="shared" si="104"/>
        <v>-</v>
      </c>
      <c r="DL71">
        <f>'4.Ident.Princip.Consumos'!D51</f>
        <v>0</v>
      </c>
      <c r="DM71">
        <f>'4.Ident.Princip.Consumos'!F51</f>
        <v>0</v>
      </c>
      <c r="DO71">
        <f>'4.Ident.Princip.Consumos'!G51</f>
        <v>0</v>
      </c>
      <c r="DR71" t="str">
        <f t="shared" si="105"/>
        <v>-</v>
      </c>
      <c r="DS71">
        <f t="shared" si="106"/>
        <v>0</v>
      </c>
      <c r="DT71" s="72" t="str">
        <f t="shared" si="107"/>
        <v>-</v>
      </c>
      <c r="DU71" s="73" t="e">
        <f t="shared" si="108"/>
        <v>#N/A</v>
      </c>
    </row>
    <row r="72" spans="1:125" x14ac:dyDescent="0.3">
      <c r="A72" s="1"/>
      <c r="B72" s="1">
        <f t="shared" si="103"/>
        <v>0</v>
      </c>
      <c r="E72" s="140"/>
      <c r="F72" s="1"/>
      <c r="G72" s="140"/>
      <c r="H72" s="1"/>
      <c r="I72" s="140"/>
      <c r="J72" s="1"/>
      <c r="K72" s="140"/>
      <c r="L72" s="1"/>
      <c r="N72" s="1"/>
      <c r="Q72" s="1"/>
      <c r="S72" s="1"/>
      <c r="U72" s="1"/>
      <c r="W72" s="1"/>
      <c r="Y72" s="1"/>
      <c r="AA72">
        <v>550</v>
      </c>
      <c r="AC72">
        <v>950</v>
      </c>
      <c r="AE72" s="52">
        <v>47270</v>
      </c>
      <c r="DF72" s="1" cm="1">
        <f t="array" ref="DF72:DH72">'4.Ident.Princip.Consumos'!A52:C52</f>
        <v>0</v>
      </c>
      <c r="DG72">
        <v>0</v>
      </c>
      <c r="DH72">
        <v>0</v>
      </c>
      <c r="DI72">
        <f>'4.Ident.Princip.Consumos'!D52</f>
        <v>0</v>
      </c>
      <c r="DJ72">
        <f>'4.Ident.Princip.Consumos'!E52</f>
        <v>0</v>
      </c>
      <c r="DK72" t="str">
        <f t="shared" si="104"/>
        <v>-</v>
      </c>
      <c r="DL72">
        <f>'4.Ident.Princip.Consumos'!D52</f>
        <v>0</v>
      </c>
      <c r="DM72">
        <f>'4.Ident.Princip.Consumos'!F52</f>
        <v>0</v>
      </c>
      <c r="DO72">
        <f>'4.Ident.Princip.Consumos'!G52</f>
        <v>0</v>
      </c>
      <c r="DR72" t="str">
        <f t="shared" si="105"/>
        <v>-</v>
      </c>
      <c r="DS72">
        <f t="shared" si="106"/>
        <v>0</v>
      </c>
      <c r="DT72" s="72" t="str">
        <f t="shared" si="107"/>
        <v>-</v>
      </c>
      <c r="DU72" s="73" t="e">
        <f t="shared" si="108"/>
        <v>#N/A</v>
      </c>
    </row>
    <row r="73" spans="1:125" x14ac:dyDescent="0.3">
      <c r="A73" s="117" t="s">
        <v>223</v>
      </c>
      <c r="B73" s="1" t="str">
        <f t="shared" si="103"/>
        <v>BT4</v>
      </c>
      <c r="E73" s="140"/>
      <c r="F73" s="143" t="s">
        <v>138</v>
      </c>
      <c r="G73" s="140"/>
      <c r="H73" s="143" t="s">
        <v>138</v>
      </c>
      <c r="I73" s="140"/>
      <c r="J73" s="143" t="s">
        <v>138</v>
      </c>
      <c r="K73" s="140"/>
      <c r="L73" s="143" t="s">
        <v>138</v>
      </c>
      <c r="N73" s="143" t="s">
        <v>138</v>
      </c>
      <c r="Q73" s="143" t="s">
        <v>138</v>
      </c>
      <c r="S73" s="143" t="s">
        <v>138</v>
      </c>
      <c r="U73" s="143" t="s">
        <v>138</v>
      </c>
      <c r="W73" s="143" t="s">
        <v>138</v>
      </c>
      <c r="Y73" s="143" t="s">
        <v>138</v>
      </c>
      <c r="AA73">
        <v>575</v>
      </c>
      <c r="AC73">
        <v>975</v>
      </c>
      <c r="AE73" s="52">
        <v>47300</v>
      </c>
      <c r="DF73" s="1" cm="1">
        <f t="array" ref="DF73:DH73">'4.Ident.Princip.Consumos'!A53:C53</f>
        <v>0</v>
      </c>
      <c r="DG73">
        <v>0</v>
      </c>
      <c r="DH73">
        <v>0</v>
      </c>
      <c r="DI73">
        <f>'4.Ident.Princip.Consumos'!D53</f>
        <v>0</v>
      </c>
      <c r="DJ73">
        <f>'4.Ident.Princip.Consumos'!E53</f>
        <v>0</v>
      </c>
      <c r="DK73" t="str">
        <f t="shared" si="104"/>
        <v>-</v>
      </c>
      <c r="DL73">
        <f>'4.Ident.Princip.Consumos'!D53</f>
        <v>0</v>
      </c>
      <c r="DM73">
        <f>'4.Ident.Princip.Consumos'!F53</f>
        <v>0</v>
      </c>
      <c r="DO73">
        <f>'4.Ident.Princip.Consumos'!G53</f>
        <v>0</v>
      </c>
      <c r="DR73" t="str">
        <f t="shared" si="105"/>
        <v>-</v>
      </c>
      <c r="DS73">
        <f t="shared" si="106"/>
        <v>0</v>
      </c>
      <c r="DT73" s="72" t="str">
        <f t="shared" si="107"/>
        <v>-</v>
      </c>
      <c r="DU73" s="73" t="e">
        <f t="shared" si="108"/>
        <v>#N/A</v>
      </c>
    </row>
    <row r="74" spans="1:125" x14ac:dyDescent="0.3">
      <c r="A74" s="36" t="s">
        <v>122</v>
      </c>
      <c r="B74" s="1">
        <f t="shared" si="103"/>
        <v>9.48</v>
      </c>
      <c r="E74" s="140"/>
      <c r="F74" s="1">
        <v>9.48</v>
      </c>
      <c r="G74" s="140"/>
      <c r="H74" s="1">
        <v>10.79</v>
      </c>
      <c r="I74" s="140"/>
      <c r="J74" s="1">
        <v>5.72</v>
      </c>
      <c r="K74" s="140"/>
      <c r="L74" s="1">
        <v>13.64</v>
      </c>
      <c r="N74" s="1">
        <v>8.4</v>
      </c>
      <c r="Q74" s="1">
        <v>5.41</v>
      </c>
      <c r="S74" s="1">
        <v>13.96</v>
      </c>
      <c r="U74" s="1">
        <v>9.9499999999999993</v>
      </c>
      <c r="W74" s="1">
        <v>10.210000000000001</v>
      </c>
      <c r="Y74" s="1">
        <v>13.54</v>
      </c>
      <c r="AA74">
        <v>600</v>
      </c>
      <c r="AC74">
        <v>1000</v>
      </c>
      <c r="AE74" s="52">
        <v>47331</v>
      </c>
      <c r="DF74" s="1" cm="1">
        <f t="array" ref="DF74:DH74">'4.Ident.Princip.Consumos'!A54:C54</f>
        <v>0</v>
      </c>
      <c r="DG74">
        <v>0</v>
      </c>
      <c r="DH74">
        <v>0</v>
      </c>
      <c r="DI74">
        <f>'4.Ident.Princip.Consumos'!D54</f>
        <v>0</v>
      </c>
      <c r="DJ74">
        <f>'4.Ident.Princip.Consumos'!E54</f>
        <v>0</v>
      </c>
      <c r="DK74" t="str">
        <f t="shared" si="104"/>
        <v>-</v>
      </c>
      <c r="DL74">
        <f>'4.Ident.Princip.Consumos'!D54</f>
        <v>0</v>
      </c>
      <c r="DM74">
        <f>'4.Ident.Princip.Consumos'!F54</f>
        <v>0</v>
      </c>
      <c r="DO74">
        <f>'4.Ident.Princip.Consumos'!G54</f>
        <v>0</v>
      </c>
      <c r="DR74" t="str">
        <f t="shared" si="105"/>
        <v>-</v>
      </c>
      <c r="DS74">
        <f t="shared" si="106"/>
        <v>0</v>
      </c>
      <c r="DT74" s="72" t="str">
        <f t="shared" si="107"/>
        <v>-</v>
      </c>
      <c r="DU74" s="73" t="e">
        <f t="shared" si="108"/>
        <v>#N/A</v>
      </c>
    </row>
    <row r="75" spans="1:125" x14ac:dyDescent="0.3">
      <c r="A75" s="37" t="s">
        <v>229</v>
      </c>
      <c r="B75" s="1">
        <f t="shared" si="103"/>
        <v>0.31519999999999998</v>
      </c>
      <c r="E75" s="140"/>
      <c r="F75" s="1">
        <v>0.31519999999999998</v>
      </c>
      <c r="G75" s="140"/>
      <c r="H75" s="1">
        <v>0.29820000000000002</v>
      </c>
      <c r="I75" s="140"/>
      <c r="J75" s="1">
        <v>0.32650000000000001</v>
      </c>
      <c r="K75" s="140"/>
      <c r="L75" s="1">
        <v>0.32250000000000001</v>
      </c>
      <c r="N75" s="1">
        <v>0.31709999999999999</v>
      </c>
      <c r="Q75" s="1">
        <v>0.30759999999999998</v>
      </c>
      <c r="S75" s="1">
        <v>0.3261</v>
      </c>
      <c r="U75" s="1">
        <v>0.37190000000000001</v>
      </c>
      <c r="W75" s="1">
        <v>0.3105</v>
      </c>
      <c r="Y75" s="1">
        <v>0.32350000000000001</v>
      </c>
      <c r="AA75">
        <v>625</v>
      </c>
      <c r="AC75">
        <v>1100</v>
      </c>
      <c r="AE75" s="52">
        <v>47362</v>
      </c>
      <c r="BC75" t="s">
        <v>257</v>
      </c>
      <c r="DF75" s="1" cm="1">
        <f t="array" ref="DF75:DH75">'4.Ident.Princip.Consumos'!A55:C55</f>
        <v>0</v>
      </c>
      <c r="DG75">
        <v>0</v>
      </c>
      <c r="DH75">
        <v>0</v>
      </c>
      <c r="DI75">
        <f>'4.Ident.Princip.Consumos'!D55</f>
        <v>0</v>
      </c>
      <c r="DJ75">
        <f>'4.Ident.Princip.Consumos'!E55</f>
        <v>0</v>
      </c>
      <c r="DK75" t="str">
        <f t="shared" si="104"/>
        <v>-</v>
      </c>
      <c r="DL75">
        <f>'4.Ident.Princip.Consumos'!D55</f>
        <v>0</v>
      </c>
      <c r="DM75">
        <f>'4.Ident.Princip.Consumos'!F55</f>
        <v>0</v>
      </c>
      <c r="DO75">
        <f>'4.Ident.Princip.Consumos'!G55</f>
        <v>0</v>
      </c>
      <c r="DR75" t="str">
        <f t="shared" si="105"/>
        <v>-</v>
      </c>
      <c r="DS75">
        <f t="shared" si="106"/>
        <v>0</v>
      </c>
      <c r="DT75" s="72" t="str">
        <f t="shared" si="107"/>
        <v>-</v>
      </c>
      <c r="DU75" s="73" t="e">
        <f t="shared" si="108"/>
        <v>#N/A</v>
      </c>
    </row>
    <row r="76" spans="1:125" ht="20.5" thickBot="1" x14ac:dyDescent="0.35">
      <c r="A76" s="36" t="s">
        <v>204</v>
      </c>
      <c r="B76" s="1">
        <f t="shared" si="103"/>
        <v>0</v>
      </c>
      <c r="E76" s="140"/>
      <c r="F76" s="1"/>
      <c r="G76" s="140"/>
      <c r="H76" s="1"/>
      <c r="I76" s="140"/>
      <c r="J76" s="1"/>
      <c r="K76" s="140"/>
      <c r="L76" s="1"/>
      <c r="N76" s="1"/>
      <c r="Q76" s="1"/>
      <c r="S76" s="1"/>
      <c r="U76" s="1"/>
      <c r="W76" s="1"/>
      <c r="Y76" s="1"/>
      <c r="AA76">
        <v>650</v>
      </c>
      <c r="AC76">
        <v>1200</v>
      </c>
      <c r="AE76" s="52">
        <v>47392</v>
      </c>
      <c r="DF76" s="1" cm="1">
        <f t="array" ref="DF76:DH76">'4.Ident.Princip.Consumos'!A56:C56</f>
        <v>0</v>
      </c>
      <c r="DG76">
        <v>0</v>
      </c>
      <c r="DH76">
        <v>0</v>
      </c>
      <c r="DI76">
        <f>'4.Ident.Princip.Consumos'!D56</f>
        <v>0</v>
      </c>
      <c r="DJ76">
        <f>'4.Ident.Princip.Consumos'!E56</f>
        <v>0</v>
      </c>
      <c r="DK76" t="str">
        <f t="shared" si="104"/>
        <v>-</v>
      </c>
      <c r="DL76">
        <f>'4.Ident.Princip.Consumos'!D56</f>
        <v>0</v>
      </c>
      <c r="DM76">
        <f>'4.Ident.Princip.Consumos'!F56</f>
        <v>0</v>
      </c>
      <c r="DO76">
        <f>'4.Ident.Princip.Consumos'!G56</f>
        <v>0</v>
      </c>
      <c r="DR76" t="str">
        <f t="shared" si="105"/>
        <v>-</v>
      </c>
      <c r="DS76">
        <f t="shared" si="106"/>
        <v>0</v>
      </c>
      <c r="DT76" s="72" t="str">
        <f t="shared" si="107"/>
        <v>-</v>
      </c>
      <c r="DU76" s="73" t="e">
        <f t="shared" si="108"/>
        <v>#N/A</v>
      </c>
    </row>
    <row r="77" spans="1:125" ht="14.5" x14ac:dyDescent="0.35">
      <c r="A77" s="37" t="s">
        <v>206</v>
      </c>
      <c r="B77" s="1">
        <f t="shared" si="103"/>
        <v>50.39</v>
      </c>
      <c r="E77" s="140"/>
      <c r="F77" s="1">
        <v>50.39</v>
      </c>
      <c r="G77" s="140"/>
      <c r="H77" s="1">
        <v>48.79</v>
      </c>
      <c r="I77" s="140"/>
      <c r="J77" s="1">
        <v>62.74</v>
      </c>
      <c r="K77" s="140"/>
      <c r="L77" s="1">
        <v>21.73</v>
      </c>
      <c r="N77" s="1">
        <v>50.72</v>
      </c>
      <c r="Q77" s="1">
        <v>62.63</v>
      </c>
      <c r="S77" s="1">
        <v>48.2</v>
      </c>
      <c r="U77" s="1">
        <v>60.67</v>
      </c>
      <c r="W77" s="1">
        <v>49.03</v>
      </c>
      <c r="Y77" s="1">
        <v>21.76</v>
      </c>
      <c r="AA77">
        <v>675</v>
      </c>
      <c r="AC77">
        <v>1300</v>
      </c>
      <c r="AE77" s="52">
        <v>47423</v>
      </c>
      <c r="BC77" s="163" t="s">
        <v>259</v>
      </c>
      <c r="BD77" s="163"/>
      <c r="DF77" s="1" cm="1">
        <f t="array" ref="DF77:DH77">'4.Ident.Princip.Consumos'!A57:C57</f>
        <v>0</v>
      </c>
      <c r="DG77">
        <v>0</v>
      </c>
      <c r="DH77">
        <v>0</v>
      </c>
      <c r="DI77">
        <f>'4.Ident.Princip.Consumos'!D57</f>
        <v>0</v>
      </c>
      <c r="DJ77">
        <f>'4.Ident.Princip.Consumos'!E57</f>
        <v>0</v>
      </c>
      <c r="DK77" t="str">
        <f t="shared" si="104"/>
        <v>-</v>
      </c>
      <c r="DL77">
        <f>'4.Ident.Princip.Consumos'!D57</f>
        <v>0</v>
      </c>
      <c r="DM77">
        <f>'4.Ident.Princip.Consumos'!F57</f>
        <v>0</v>
      </c>
      <c r="DO77">
        <f>'4.Ident.Princip.Consumos'!G57</f>
        <v>0</v>
      </c>
      <c r="DR77" t="str">
        <f t="shared" si="105"/>
        <v>-</v>
      </c>
      <c r="DS77">
        <f t="shared" si="106"/>
        <v>0</v>
      </c>
      <c r="DT77" s="72" t="str">
        <f t="shared" si="107"/>
        <v>-</v>
      </c>
      <c r="DU77" s="73" t="e">
        <f t="shared" si="108"/>
        <v>#N/A</v>
      </c>
    </row>
    <row r="78" spans="1:125" x14ac:dyDescent="0.3">
      <c r="A78" s="36" t="s">
        <v>209</v>
      </c>
      <c r="B78" s="1">
        <f t="shared" si="103"/>
        <v>46.23</v>
      </c>
      <c r="E78" s="140"/>
      <c r="F78" s="1">
        <v>46.23</v>
      </c>
      <c r="G78" s="140"/>
      <c r="H78" s="1">
        <v>45.25</v>
      </c>
      <c r="I78" s="140"/>
      <c r="J78" s="1">
        <v>45.3</v>
      </c>
      <c r="K78" s="140"/>
      <c r="L78" s="1">
        <v>20.81</v>
      </c>
      <c r="N78" s="1">
        <v>46.26</v>
      </c>
      <c r="Q78" s="1">
        <v>42.89</v>
      </c>
      <c r="S78" s="1">
        <v>46.66</v>
      </c>
      <c r="U78" s="1">
        <v>55.54</v>
      </c>
      <c r="W78" s="1">
        <v>45.91</v>
      </c>
      <c r="Y78" s="1">
        <v>20.84</v>
      </c>
      <c r="AA78">
        <v>700</v>
      </c>
      <c r="AC78">
        <v>1400</v>
      </c>
      <c r="AE78" s="52">
        <v>47453</v>
      </c>
      <c r="BC78" s="6" t="s">
        <v>260</v>
      </c>
      <c r="BD78" s="6">
        <v>0.27997911731455294</v>
      </c>
      <c r="DF78" s="1"/>
      <c r="DR78">
        <f>SUM(DR56:DR77)</f>
        <v>0</v>
      </c>
    </row>
    <row r="79" spans="1:125" ht="20" x14ac:dyDescent="0.3">
      <c r="A79" s="37" t="s">
        <v>212</v>
      </c>
      <c r="B79" s="1">
        <f t="shared" si="103"/>
        <v>0</v>
      </c>
      <c r="E79" s="140"/>
      <c r="F79" s="1"/>
      <c r="G79" s="140"/>
      <c r="H79" s="1"/>
      <c r="I79" s="140"/>
      <c r="J79" s="1"/>
      <c r="K79" s="140"/>
      <c r="L79" s="1"/>
      <c r="N79" s="318" t="s">
        <v>485</v>
      </c>
      <c r="Q79" s="1"/>
      <c r="S79" s="1"/>
      <c r="U79" s="1"/>
      <c r="W79" s="1"/>
      <c r="Y79" s="1"/>
      <c r="AA79">
        <v>725</v>
      </c>
      <c r="AC79">
        <v>1500</v>
      </c>
      <c r="AE79" s="52">
        <v>47484</v>
      </c>
      <c r="BC79" s="6" t="s">
        <v>261</v>
      </c>
      <c r="BD79" s="6">
        <v>7.8388306132236185E-2</v>
      </c>
      <c r="DF79" s="1"/>
      <c r="DR79" s="66">
        <f>DL53-(SUM(DR56:DR77))</f>
        <v>0</v>
      </c>
    </row>
    <row r="80" spans="1:125" x14ac:dyDescent="0.3">
      <c r="A80" s="36" t="s">
        <v>206</v>
      </c>
      <c r="B80" s="332">
        <f t="shared" si="103"/>
        <v>83.43</v>
      </c>
      <c r="E80" s="140"/>
      <c r="F80" s="1">
        <v>83.43</v>
      </c>
      <c r="G80" s="140"/>
      <c r="H80" s="1">
        <v>67.22</v>
      </c>
      <c r="I80" s="140"/>
      <c r="J80" s="1">
        <v>57.9</v>
      </c>
      <c r="K80" s="140"/>
      <c r="L80" s="1">
        <v>81.62</v>
      </c>
      <c r="N80" s="1">
        <v>91.86</v>
      </c>
      <c r="Q80" s="1">
        <v>94.19</v>
      </c>
      <c r="S80" s="1">
        <v>109.75</v>
      </c>
      <c r="U80" s="1">
        <v>67.13</v>
      </c>
      <c r="W80" s="1">
        <v>67.849999999999994</v>
      </c>
      <c r="Y80" s="1">
        <v>79.72</v>
      </c>
      <c r="AA80">
        <v>750</v>
      </c>
      <c r="AC80">
        <v>1600</v>
      </c>
      <c r="AE80" s="52">
        <v>47515</v>
      </c>
      <c r="BC80" s="6" t="s">
        <v>262</v>
      </c>
      <c r="BD80" s="6">
        <v>-1.3772863254540191E-2</v>
      </c>
      <c r="DF80" s="1"/>
    </row>
    <row r="81" spans="1:110" x14ac:dyDescent="0.3">
      <c r="A81" s="37" t="s">
        <v>209</v>
      </c>
      <c r="B81" s="1">
        <f t="shared" si="103"/>
        <v>80.260000000000005</v>
      </c>
      <c r="E81" s="140"/>
      <c r="F81" s="1">
        <v>80.260000000000005</v>
      </c>
      <c r="G81" s="140"/>
      <c r="H81" s="1">
        <v>64.78</v>
      </c>
      <c r="I81" s="140"/>
      <c r="J81" s="1">
        <v>53.31</v>
      </c>
      <c r="K81" s="140"/>
      <c r="L81" s="1">
        <v>79.11</v>
      </c>
      <c r="N81" s="1">
        <v>88.09</v>
      </c>
      <c r="Q81" s="1">
        <v>85.78</v>
      </c>
      <c r="S81" s="1">
        <v>106.86</v>
      </c>
      <c r="U81" s="1">
        <v>64.510000000000005</v>
      </c>
      <c r="W81" s="1">
        <v>65.680000000000007</v>
      </c>
      <c r="Y81" s="1">
        <v>77.27</v>
      </c>
      <c r="AA81">
        <v>775</v>
      </c>
      <c r="AC81">
        <v>1700</v>
      </c>
      <c r="AE81" s="52">
        <v>47543</v>
      </c>
      <c r="BC81" s="6" t="s">
        <v>263</v>
      </c>
      <c r="BD81" s="6">
        <v>1428.1837362055787</v>
      </c>
      <c r="DF81" s="1"/>
    </row>
    <row r="82" spans="1:110" ht="20.5" thickBot="1" x14ac:dyDescent="0.35">
      <c r="A82" s="36" t="s">
        <v>186</v>
      </c>
      <c r="B82" s="1">
        <f t="shared" si="103"/>
        <v>4.82E-2</v>
      </c>
      <c r="E82" s="140"/>
      <c r="F82" s="1">
        <v>4.82E-2</v>
      </c>
      <c r="G82" s="140"/>
      <c r="H82" s="1">
        <v>4.82E-2</v>
      </c>
      <c r="I82" s="140"/>
      <c r="J82" s="1">
        <v>5.3699999999999998E-2</v>
      </c>
      <c r="K82" s="140"/>
      <c r="L82" s="1">
        <v>4.6699999999999998E-2</v>
      </c>
      <c r="N82" s="1">
        <v>4.8000000000000001E-2</v>
      </c>
      <c r="Q82" s="1">
        <v>5.3600000000000002E-2</v>
      </c>
      <c r="S82" s="1">
        <v>4.8000000000000001E-2</v>
      </c>
      <c r="U82" s="1">
        <v>4.8000000000000001E-2</v>
      </c>
      <c r="W82" s="1">
        <v>4.8000000000000001E-2</v>
      </c>
      <c r="Y82" s="1">
        <v>4.6699999999999998E-2</v>
      </c>
      <c r="AA82">
        <v>800</v>
      </c>
      <c r="AC82">
        <v>1800</v>
      </c>
      <c r="AE82" s="52">
        <v>47574</v>
      </c>
      <c r="BC82" s="26" t="s">
        <v>15</v>
      </c>
      <c r="BD82" s="26">
        <v>12</v>
      </c>
      <c r="DF82" s="1"/>
    </row>
    <row r="83" spans="1:110" x14ac:dyDescent="0.3">
      <c r="A83" s="117" t="s">
        <v>118</v>
      </c>
      <c r="B83" s="1" t="str">
        <f t="shared" si="103"/>
        <v>MT2</v>
      </c>
      <c r="E83" s="140"/>
      <c r="F83" s="143" t="s">
        <v>120</v>
      </c>
      <c r="G83" s="140"/>
      <c r="H83" s="143" t="s">
        <v>120</v>
      </c>
      <c r="I83" s="140"/>
      <c r="J83" s="118" t="s">
        <v>120</v>
      </c>
      <c r="K83" s="140"/>
      <c r="L83" s="118" t="s">
        <v>120</v>
      </c>
      <c r="N83" s="118" t="s">
        <v>120</v>
      </c>
      <c r="Q83" s="118" t="s">
        <v>120</v>
      </c>
      <c r="S83" s="118" t="s">
        <v>120</v>
      </c>
      <c r="U83" s="118" t="s">
        <v>120</v>
      </c>
      <c r="W83" s="118" t="s">
        <v>120</v>
      </c>
      <c r="Y83" s="118" t="s">
        <v>120</v>
      </c>
      <c r="AA83">
        <v>825</v>
      </c>
      <c r="AC83">
        <v>1900</v>
      </c>
      <c r="AE83" s="52">
        <v>47604</v>
      </c>
      <c r="DF83" s="1"/>
    </row>
    <row r="84" spans="1:110" ht="14.5" thickBot="1" x14ac:dyDescent="0.35">
      <c r="A84" s="36" t="s">
        <v>122</v>
      </c>
      <c r="B84" s="1">
        <f t="shared" si="103"/>
        <v>9.48</v>
      </c>
      <c r="E84" s="140"/>
      <c r="F84" s="1">
        <v>9.48</v>
      </c>
      <c r="G84" s="140"/>
      <c r="H84" s="1">
        <v>11.17</v>
      </c>
      <c r="I84" s="140"/>
      <c r="J84" s="1">
        <v>6.65</v>
      </c>
      <c r="K84" s="140"/>
      <c r="L84" s="1">
        <v>16.25</v>
      </c>
      <c r="N84" s="1">
        <v>8.32</v>
      </c>
      <c r="Q84" s="1">
        <v>6.63</v>
      </c>
      <c r="S84" s="1">
        <v>15.23</v>
      </c>
      <c r="U84" s="1">
        <v>10.9</v>
      </c>
      <c r="W84" s="1">
        <v>13.68</v>
      </c>
      <c r="Y84" s="1">
        <v>16.25</v>
      </c>
      <c r="AA84">
        <v>850</v>
      </c>
      <c r="AC84">
        <v>2000</v>
      </c>
      <c r="AE84" s="52">
        <v>47635</v>
      </c>
      <c r="BC84" t="s">
        <v>264</v>
      </c>
      <c r="DF84" s="1"/>
    </row>
    <row r="85" spans="1:110" ht="14.5" x14ac:dyDescent="0.35">
      <c r="A85" s="37" t="s">
        <v>127</v>
      </c>
      <c r="B85" s="1">
        <f t="shared" si="103"/>
        <v>0.3327</v>
      </c>
      <c r="E85" s="140"/>
      <c r="F85" s="1">
        <v>0.3327</v>
      </c>
      <c r="G85" s="140"/>
      <c r="H85" s="1">
        <v>0.31919999999999998</v>
      </c>
      <c r="I85" s="140"/>
      <c r="J85" s="1">
        <v>0.33800000000000002</v>
      </c>
      <c r="K85" s="140"/>
      <c r="L85" s="1">
        <v>0.29620000000000002</v>
      </c>
      <c r="N85" s="1">
        <v>0.33</v>
      </c>
      <c r="Q85" s="1">
        <v>0.31969999999999998</v>
      </c>
      <c r="S85" s="1">
        <v>0.35099999999999998</v>
      </c>
      <c r="U85" s="1">
        <v>0.36890000000000001</v>
      </c>
      <c r="W85" s="1">
        <v>0.32890000000000003</v>
      </c>
      <c r="Y85" s="1">
        <v>0.29709999999999998</v>
      </c>
      <c r="AA85">
        <v>875</v>
      </c>
      <c r="AC85">
        <v>2100</v>
      </c>
      <c r="AE85" s="52">
        <v>47665</v>
      </c>
      <c r="BC85" s="162"/>
      <c r="BD85" s="162" t="s">
        <v>265</v>
      </c>
      <c r="BE85" s="162" t="s">
        <v>266</v>
      </c>
      <c r="BF85" s="162" t="s">
        <v>267</v>
      </c>
      <c r="BG85" s="162" t="s">
        <v>268</v>
      </c>
      <c r="BH85" s="162" t="s">
        <v>269</v>
      </c>
    </row>
    <row r="86" spans="1:110" x14ac:dyDescent="0.3">
      <c r="A86" s="36" t="s">
        <v>136</v>
      </c>
      <c r="B86" s="1">
        <f t="shared" si="103"/>
        <v>0.2782</v>
      </c>
      <c r="E86" s="140"/>
      <c r="F86" s="1">
        <v>0.2782</v>
      </c>
      <c r="G86" s="140"/>
      <c r="H86" s="1">
        <v>0.26779999999999998</v>
      </c>
      <c r="I86" s="140"/>
      <c r="J86" s="1">
        <v>0.2878</v>
      </c>
      <c r="K86" s="140"/>
      <c r="L86" s="1">
        <v>0.29620000000000002</v>
      </c>
      <c r="N86" s="1">
        <v>0.27910000000000001</v>
      </c>
      <c r="Q86" s="1">
        <v>0.27439999999999998</v>
      </c>
      <c r="S86" s="1">
        <v>0.28339999999999999</v>
      </c>
      <c r="U86" s="1">
        <v>0.32700000000000001</v>
      </c>
      <c r="W86" s="1">
        <v>0.27879999999999999</v>
      </c>
      <c r="Y86" s="1">
        <v>0.29709999999999998</v>
      </c>
      <c r="AA86">
        <v>900</v>
      </c>
      <c r="AC86">
        <v>2200</v>
      </c>
      <c r="AE86" s="52">
        <v>47696</v>
      </c>
      <c r="BC86" s="6" t="s">
        <v>270</v>
      </c>
      <c r="BD86" s="6">
        <v>1</v>
      </c>
      <c r="BE86" s="6">
        <v>1734888.1060544699</v>
      </c>
      <c r="BF86" s="6">
        <v>1734888.1060544699</v>
      </c>
      <c r="BG86" s="6">
        <v>0.8505567654340509</v>
      </c>
      <c r="BH86" s="6">
        <v>0.37810898882159261</v>
      </c>
    </row>
    <row r="87" spans="1:110" ht="20" x14ac:dyDescent="0.3">
      <c r="A87" s="37" t="s">
        <v>152</v>
      </c>
      <c r="B87" s="1">
        <f t="shared" si="103"/>
        <v>66.95</v>
      </c>
      <c r="E87" s="140"/>
      <c r="F87" s="1">
        <v>66.95</v>
      </c>
      <c r="G87" s="140"/>
      <c r="H87" s="1">
        <v>66.61</v>
      </c>
      <c r="I87" s="140"/>
      <c r="J87" s="1">
        <v>63.09</v>
      </c>
      <c r="K87" s="140"/>
      <c r="L87" s="1">
        <v>29.74</v>
      </c>
      <c r="N87" s="1">
        <v>67.64</v>
      </c>
      <c r="Q87" s="1">
        <v>67.48</v>
      </c>
      <c r="S87" s="1">
        <v>67.540000000000006</v>
      </c>
      <c r="U87" s="1">
        <v>78.92</v>
      </c>
      <c r="W87" s="1">
        <v>68.010000000000005</v>
      </c>
      <c r="Y87" s="1">
        <v>29.78</v>
      </c>
      <c r="AA87">
        <v>925</v>
      </c>
      <c r="AC87">
        <v>2300</v>
      </c>
      <c r="AE87" s="52">
        <v>47727</v>
      </c>
      <c r="BC87" s="6" t="s">
        <v>271</v>
      </c>
      <c r="BD87" s="6">
        <v>10</v>
      </c>
      <c r="BE87" s="6">
        <v>20397087.843621261</v>
      </c>
      <c r="BF87" s="6">
        <v>2039708.7843621261</v>
      </c>
      <c r="BG87" s="6"/>
      <c r="BH87" s="6"/>
    </row>
    <row r="88" spans="1:110" ht="20.5" thickBot="1" x14ac:dyDescent="0.35">
      <c r="A88" s="36" t="s">
        <v>179</v>
      </c>
      <c r="B88" s="1">
        <f t="shared" si="103"/>
        <v>16</v>
      </c>
      <c r="E88" s="140"/>
      <c r="F88" s="1">
        <v>16</v>
      </c>
      <c r="G88" s="140"/>
      <c r="H88" s="1">
        <v>13.2</v>
      </c>
      <c r="I88" s="140"/>
      <c r="J88" s="1">
        <v>14.45</v>
      </c>
      <c r="K88" s="140"/>
      <c r="L88" s="1">
        <v>19.7</v>
      </c>
      <c r="N88" s="1">
        <v>17.649999999999999</v>
      </c>
      <c r="Q88" s="1">
        <v>17.559999999999999</v>
      </c>
      <c r="S88" s="1">
        <v>24.04</v>
      </c>
      <c r="U88" s="1">
        <v>12.42</v>
      </c>
      <c r="W88" s="1">
        <v>12.65</v>
      </c>
      <c r="Y88" s="1">
        <v>19.260000000000002</v>
      </c>
      <c r="AA88">
        <v>950</v>
      </c>
      <c r="AC88">
        <v>2400</v>
      </c>
      <c r="AE88" s="52">
        <v>47757</v>
      </c>
      <c r="BC88" s="26" t="s">
        <v>116</v>
      </c>
      <c r="BD88" s="26">
        <v>11</v>
      </c>
      <c r="BE88" s="26">
        <v>22131975.949675731</v>
      </c>
      <c r="BF88" s="26"/>
      <c r="BG88" s="26"/>
      <c r="BH88" s="26"/>
    </row>
    <row r="89" spans="1:110" ht="20.5" thickBot="1" x14ac:dyDescent="0.35">
      <c r="A89" s="37" t="s">
        <v>183</v>
      </c>
      <c r="B89" s="332">
        <f t="shared" si="103"/>
        <v>16.45</v>
      </c>
      <c r="E89" s="140"/>
      <c r="F89" s="1">
        <v>16.45</v>
      </c>
      <c r="G89" s="140"/>
      <c r="H89" s="1">
        <v>14.52</v>
      </c>
      <c r="I89" s="140"/>
      <c r="J89" s="1">
        <v>15.54</v>
      </c>
      <c r="K89" s="140"/>
      <c r="L89" s="1">
        <v>23.14</v>
      </c>
      <c r="N89" s="1">
        <v>18.989999999999998</v>
      </c>
      <c r="Q89" s="1">
        <v>17.45</v>
      </c>
      <c r="S89" s="1">
        <v>25.73</v>
      </c>
      <c r="U89" s="1">
        <v>14.42</v>
      </c>
      <c r="W89" s="1">
        <v>14.2</v>
      </c>
      <c r="Y89" s="1">
        <v>22.63</v>
      </c>
      <c r="AA89">
        <v>975</v>
      </c>
      <c r="AC89">
        <v>2500</v>
      </c>
      <c r="AE89" s="52">
        <v>47788</v>
      </c>
    </row>
    <row r="90" spans="1:110" ht="20" x14ac:dyDescent="0.35">
      <c r="A90" s="36" t="s">
        <v>186</v>
      </c>
      <c r="B90" s="1">
        <f t="shared" si="103"/>
        <v>4.82E-2</v>
      </c>
      <c r="E90" s="140"/>
      <c r="F90" s="1">
        <v>4.82E-2</v>
      </c>
      <c r="G90" s="140"/>
      <c r="H90" s="1">
        <v>4.82E-2</v>
      </c>
      <c r="I90" s="140"/>
      <c r="J90" s="1">
        <v>5.3699999999999998E-2</v>
      </c>
      <c r="K90" s="140"/>
      <c r="L90" s="1">
        <v>4.6699999999999998E-2</v>
      </c>
      <c r="N90" s="1">
        <v>4.8000000000000001E-2</v>
      </c>
      <c r="Q90" s="1">
        <v>5.3600000000000002E-2</v>
      </c>
      <c r="S90" s="1">
        <v>4.8000000000000001E-2</v>
      </c>
      <c r="U90" s="1">
        <v>4.8000000000000001E-2</v>
      </c>
      <c r="W90" s="1">
        <v>4.8000000000000001E-2</v>
      </c>
      <c r="Y90" s="1">
        <v>4.6699999999999998E-2</v>
      </c>
      <c r="AA90">
        <v>1000</v>
      </c>
      <c r="AC90">
        <v>2600</v>
      </c>
      <c r="AE90" s="52">
        <v>47818</v>
      </c>
      <c r="BC90" s="162"/>
      <c r="BD90" s="162" t="s">
        <v>272</v>
      </c>
      <c r="BE90" s="162" t="s">
        <v>263</v>
      </c>
      <c r="BF90" s="162" t="s">
        <v>273</v>
      </c>
      <c r="BG90" s="162" t="s">
        <v>274</v>
      </c>
      <c r="BH90" s="162" t="s">
        <v>275</v>
      </c>
      <c r="BI90" s="162" t="s">
        <v>276</v>
      </c>
      <c r="BJ90" s="162" t="s">
        <v>328</v>
      </c>
      <c r="BK90" s="162" t="s">
        <v>329</v>
      </c>
    </row>
    <row r="91" spans="1:110" x14ac:dyDescent="0.3">
      <c r="A91" s="1"/>
      <c r="B91" s="1">
        <f t="shared" si="103"/>
        <v>0</v>
      </c>
      <c r="E91" s="140"/>
      <c r="F91" s="1"/>
      <c r="G91" s="140"/>
      <c r="H91" s="1"/>
      <c r="I91" s="140"/>
      <c r="J91" s="1"/>
      <c r="K91" s="140"/>
      <c r="L91" s="1"/>
      <c r="N91" s="1"/>
      <c r="Q91" s="1"/>
      <c r="S91" s="1"/>
      <c r="U91" s="1"/>
      <c r="W91" s="1"/>
      <c r="Y91" s="1"/>
      <c r="AA91">
        <v>1025</v>
      </c>
      <c r="AC91">
        <v>2700</v>
      </c>
      <c r="BC91" s="6" t="s">
        <v>277</v>
      </c>
      <c r="BD91" s="6">
        <f>'5. Ecuación'!J15</f>
        <v>0</v>
      </c>
      <c r="BE91" s="6">
        <v>860.61922792578412</v>
      </c>
      <c r="BF91" s="6">
        <v>2.1144218825989269</v>
      </c>
      <c r="BG91" s="6">
        <v>6.0589748674261069E-2</v>
      </c>
      <c r="BH91" s="6">
        <v>-97.867010396198793</v>
      </c>
      <c r="BI91" s="6">
        <v>3737.2912666195416</v>
      </c>
      <c r="BJ91" s="6">
        <v>-97.867010396198793</v>
      </c>
      <c r="BK91" s="6">
        <v>3737.2912666195416</v>
      </c>
    </row>
    <row r="92" spans="1:110" ht="14.5" thickBot="1" x14ac:dyDescent="0.35">
      <c r="A92" s="117" t="s">
        <v>191</v>
      </c>
      <c r="B92" s="1" t="str">
        <f t="shared" si="103"/>
        <v>MT3</v>
      </c>
      <c r="E92" s="140"/>
      <c r="F92" s="143" t="s">
        <v>181</v>
      </c>
      <c r="G92" s="140"/>
      <c r="H92" s="143" t="s">
        <v>181</v>
      </c>
      <c r="I92" s="140"/>
      <c r="J92" s="118" t="s">
        <v>181</v>
      </c>
      <c r="K92" s="140"/>
      <c r="L92" s="118" t="s">
        <v>181</v>
      </c>
      <c r="N92" s="118" t="s">
        <v>181</v>
      </c>
      <c r="Q92" s="118" t="s">
        <v>181</v>
      </c>
      <c r="S92" s="118" t="s">
        <v>181</v>
      </c>
      <c r="U92" s="118" t="s">
        <v>181</v>
      </c>
      <c r="W92" s="118" t="s">
        <v>181</v>
      </c>
      <c r="Y92" s="118" t="s">
        <v>181</v>
      </c>
      <c r="AA92">
        <v>1050</v>
      </c>
      <c r="AC92">
        <v>2800</v>
      </c>
      <c r="BC92" s="26" t="s">
        <v>278</v>
      </c>
      <c r="BD92" s="26">
        <f>'5. Ecuación'!I15</f>
        <v>0</v>
      </c>
      <c r="BE92" s="26">
        <v>4.0871420339417792</v>
      </c>
      <c r="BF92" s="26">
        <v>-0.92225634475131191</v>
      </c>
      <c r="BG92" s="26">
        <v>0.37810898882159261</v>
      </c>
      <c r="BH92" s="26">
        <v>-12.87611263211447</v>
      </c>
      <c r="BI92" s="26">
        <v>5.3373272867092938</v>
      </c>
      <c r="BJ92" s="26">
        <v>-12.87611263211447</v>
      </c>
      <c r="BK92" s="26">
        <v>5.3373272867092938</v>
      </c>
    </row>
    <row r="93" spans="1:110" x14ac:dyDescent="0.3">
      <c r="A93" s="36" t="s">
        <v>122</v>
      </c>
      <c r="B93" s="1">
        <f t="shared" si="103"/>
        <v>9.48</v>
      </c>
      <c r="E93" s="140"/>
      <c r="F93" s="1">
        <v>9.48</v>
      </c>
      <c r="G93" s="140"/>
      <c r="H93" s="1">
        <v>10.79</v>
      </c>
      <c r="I93" s="140"/>
      <c r="J93" s="1">
        <v>5.72</v>
      </c>
      <c r="K93" s="140"/>
      <c r="L93" s="1">
        <v>13.64</v>
      </c>
      <c r="N93" s="1">
        <v>8.4</v>
      </c>
      <c r="Q93" s="1">
        <v>5.41</v>
      </c>
      <c r="S93" s="1">
        <v>13.96</v>
      </c>
      <c r="U93" s="1">
        <v>9.9499999999999993</v>
      </c>
      <c r="W93" s="1">
        <v>10.210000000000001</v>
      </c>
      <c r="Y93" s="1">
        <v>13.54</v>
      </c>
      <c r="AA93">
        <v>1075</v>
      </c>
      <c r="AC93">
        <v>2900</v>
      </c>
    </row>
    <row r="94" spans="1:110" x14ac:dyDescent="0.3">
      <c r="A94" s="37" t="s">
        <v>127</v>
      </c>
      <c r="B94" s="1">
        <f t="shared" si="103"/>
        <v>0.3327</v>
      </c>
      <c r="E94" s="140"/>
      <c r="F94" s="1">
        <v>0.3327</v>
      </c>
      <c r="G94" s="140"/>
      <c r="H94" s="1">
        <v>0.31919999999999998</v>
      </c>
      <c r="I94" s="140"/>
      <c r="J94" s="1">
        <v>0.33800000000000002</v>
      </c>
      <c r="K94" s="140"/>
      <c r="L94" s="1">
        <v>0.29620000000000002</v>
      </c>
      <c r="N94" s="1">
        <v>0.33</v>
      </c>
      <c r="Q94" s="1">
        <v>0.31969999999999998</v>
      </c>
      <c r="S94" s="1">
        <v>0.35099999999999998</v>
      </c>
      <c r="U94" s="1">
        <v>0.38690000000000002</v>
      </c>
      <c r="W94" s="1">
        <v>0.32890000000000003</v>
      </c>
      <c r="Y94" s="1">
        <v>0.29709999999999998</v>
      </c>
      <c r="AA94">
        <v>1100</v>
      </c>
      <c r="AC94">
        <v>3000</v>
      </c>
    </row>
    <row r="95" spans="1:110" x14ac:dyDescent="0.3">
      <c r="A95" s="36" t="s">
        <v>136</v>
      </c>
      <c r="B95" s="1">
        <f t="shared" si="103"/>
        <v>0.2782</v>
      </c>
      <c r="E95" s="140"/>
      <c r="F95" s="1">
        <v>0.2782</v>
      </c>
      <c r="G95" s="140"/>
      <c r="H95" s="1">
        <v>0.26779999999999998</v>
      </c>
      <c r="I95" s="140"/>
      <c r="J95" s="1">
        <v>0.2878</v>
      </c>
      <c r="K95" s="140"/>
      <c r="L95" s="1">
        <v>0.29620000000000002</v>
      </c>
      <c r="N95" s="1">
        <v>0.27910000000000001</v>
      </c>
      <c r="Q95" s="1">
        <v>0.27439999999999998</v>
      </c>
      <c r="S95" s="1">
        <v>0.28339999999999999</v>
      </c>
      <c r="U95" s="1">
        <v>0.32700000000000001</v>
      </c>
      <c r="W95" s="1">
        <v>0.27879999999999999</v>
      </c>
      <c r="Y95" s="1">
        <v>0.29709999999999998</v>
      </c>
      <c r="AA95">
        <v>1125</v>
      </c>
      <c r="AC95">
        <v>3100</v>
      </c>
      <c r="AW95">
        <v>18642.652295131014</v>
      </c>
    </row>
    <row r="96" spans="1:110" ht="20" x14ac:dyDescent="0.3">
      <c r="A96" s="37" t="s">
        <v>204</v>
      </c>
      <c r="B96" s="1">
        <f t="shared" si="103"/>
        <v>0</v>
      </c>
      <c r="E96" s="140"/>
      <c r="F96" s="1"/>
      <c r="G96" s="140"/>
      <c r="H96" s="1"/>
      <c r="I96" s="140"/>
      <c r="J96" s="1"/>
      <c r="K96" s="140"/>
      <c r="L96" s="1"/>
      <c r="N96" s="1"/>
      <c r="Q96" s="1"/>
      <c r="S96" s="1"/>
      <c r="U96" s="1"/>
      <c r="W96" s="1"/>
      <c r="Y96" s="1"/>
      <c r="AA96">
        <v>1150</v>
      </c>
      <c r="AC96">
        <v>3200</v>
      </c>
      <c r="AW96">
        <v>-1.2435641657998608</v>
      </c>
    </row>
    <row r="97" spans="1:29" x14ac:dyDescent="0.3">
      <c r="A97" s="36" t="s">
        <v>206</v>
      </c>
      <c r="B97" s="1">
        <f t="shared" si="103"/>
        <v>58.71</v>
      </c>
      <c r="E97" s="140"/>
      <c r="F97" s="1">
        <v>58.71</v>
      </c>
      <c r="G97" s="140"/>
      <c r="H97" s="1">
        <v>59.4</v>
      </c>
      <c r="I97" s="140"/>
      <c r="J97" s="1">
        <v>57.44</v>
      </c>
      <c r="K97" s="140"/>
      <c r="L97" s="1">
        <v>27.04</v>
      </c>
      <c r="N97" s="1">
        <v>59.65</v>
      </c>
      <c r="Q97" s="1">
        <v>58.2</v>
      </c>
      <c r="S97" s="1">
        <v>62.15</v>
      </c>
      <c r="U97" s="1">
        <v>69.31</v>
      </c>
      <c r="W97" s="1">
        <v>60.28</v>
      </c>
      <c r="Y97" s="1">
        <v>27.07</v>
      </c>
      <c r="AA97">
        <v>1175</v>
      </c>
      <c r="AC97">
        <v>3300</v>
      </c>
    </row>
    <row r="98" spans="1:29" x14ac:dyDescent="0.3">
      <c r="A98" s="37" t="s">
        <v>209</v>
      </c>
      <c r="B98" s="1">
        <f t="shared" si="103"/>
        <v>36.83</v>
      </c>
      <c r="E98" s="140"/>
      <c r="F98" s="1">
        <v>36.83</v>
      </c>
      <c r="G98" s="140"/>
      <c r="H98" s="1">
        <v>37.35</v>
      </c>
      <c r="I98" s="140"/>
      <c r="J98" s="1">
        <v>40.1</v>
      </c>
      <c r="K98" s="140"/>
      <c r="L98" s="1">
        <v>17.28</v>
      </c>
      <c r="N98" s="1">
        <v>37.56</v>
      </c>
      <c r="Q98" s="1">
        <v>46.91</v>
      </c>
      <c r="S98" s="1">
        <v>39.74</v>
      </c>
      <c r="U98" s="1">
        <v>43.31</v>
      </c>
      <c r="W98" s="1">
        <v>37.799999999999997</v>
      </c>
      <c r="Y98" s="1">
        <v>17.3</v>
      </c>
      <c r="AA98">
        <v>1200</v>
      </c>
      <c r="AC98">
        <v>3400</v>
      </c>
    </row>
    <row r="99" spans="1:29" ht="20" x14ac:dyDescent="0.3">
      <c r="A99" s="36" t="s">
        <v>212</v>
      </c>
      <c r="B99" s="1">
        <f t="shared" si="103"/>
        <v>0</v>
      </c>
      <c r="E99" s="140"/>
      <c r="F99" s="1"/>
      <c r="G99" s="140"/>
      <c r="H99" s="1"/>
      <c r="I99" s="140"/>
      <c r="J99" s="1"/>
      <c r="K99" s="140"/>
      <c r="L99" s="1"/>
      <c r="N99" s="1"/>
      <c r="Q99" s="1"/>
      <c r="S99" s="1"/>
      <c r="U99" s="1"/>
      <c r="W99" s="1"/>
      <c r="Y99" s="1"/>
      <c r="AA99">
        <v>1225</v>
      </c>
      <c r="AC99">
        <v>3500</v>
      </c>
    </row>
    <row r="100" spans="1:29" x14ac:dyDescent="0.3">
      <c r="A100" s="37" t="s">
        <v>206</v>
      </c>
      <c r="B100" s="332">
        <f t="shared" si="103"/>
        <v>17.02</v>
      </c>
      <c r="E100" s="140"/>
      <c r="F100" s="1">
        <v>17.02</v>
      </c>
      <c r="G100" s="140"/>
      <c r="H100" s="1">
        <v>14.4</v>
      </c>
      <c r="I100" s="140"/>
      <c r="J100" s="1">
        <v>16.170000000000002</v>
      </c>
      <c r="K100" s="140"/>
      <c r="L100" s="1">
        <v>21.85</v>
      </c>
      <c r="N100" s="1">
        <v>19.03</v>
      </c>
      <c r="Q100" s="1">
        <v>18.79</v>
      </c>
      <c r="S100" s="1">
        <v>26.1</v>
      </c>
      <c r="U100" s="1">
        <v>13.78</v>
      </c>
      <c r="W100" s="1">
        <v>13.85</v>
      </c>
      <c r="Y100" s="1">
        <v>21.37</v>
      </c>
      <c r="AA100">
        <v>1250</v>
      </c>
      <c r="AC100">
        <v>3600</v>
      </c>
    </row>
    <row r="101" spans="1:29" x14ac:dyDescent="0.3">
      <c r="A101" s="36" t="s">
        <v>209</v>
      </c>
      <c r="B101" s="1">
        <f t="shared" si="103"/>
        <v>16.809999999999999</v>
      </c>
      <c r="E101" s="140"/>
      <c r="F101" s="1">
        <v>16.809999999999999</v>
      </c>
      <c r="G101" s="140"/>
      <c r="H101" s="1">
        <v>14.44</v>
      </c>
      <c r="I101" s="140"/>
      <c r="J101" s="1">
        <v>15.97</v>
      </c>
      <c r="K101" s="140"/>
      <c r="L101" s="1">
        <v>22.34</v>
      </c>
      <c r="N101" s="1">
        <v>19.010000000000002</v>
      </c>
      <c r="Q101" s="1">
        <v>18.5</v>
      </c>
      <c r="S101" s="1">
        <v>25.96</v>
      </c>
      <c r="U101" s="1">
        <v>14.01</v>
      </c>
      <c r="W101" s="1">
        <v>13.98</v>
      </c>
      <c r="Y101" s="1">
        <v>21.85</v>
      </c>
      <c r="AA101">
        <v>1275</v>
      </c>
      <c r="AC101">
        <v>3700</v>
      </c>
    </row>
    <row r="102" spans="1:29" ht="20" x14ac:dyDescent="0.3">
      <c r="A102" s="37" t="s">
        <v>186</v>
      </c>
      <c r="B102" s="1">
        <f t="shared" si="103"/>
        <v>4.82E-2</v>
      </c>
      <c r="E102" s="140"/>
      <c r="F102" s="1">
        <v>4.82E-2</v>
      </c>
      <c r="G102" s="140"/>
      <c r="H102" s="1">
        <v>4.82E-2</v>
      </c>
      <c r="I102" s="140"/>
      <c r="J102" s="1">
        <v>5.3699999999999998E-2</v>
      </c>
      <c r="K102" s="140"/>
      <c r="L102" s="1">
        <v>4.6699999999999998E-2</v>
      </c>
      <c r="N102" s="1">
        <v>4.8000000000000001E-2</v>
      </c>
      <c r="Q102" s="1">
        <v>5.3600000000000002E-2</v>
      </c>
      <c r="S102" s="1">
        <v>4.8000000000000001E-2</v>
      </c>
      <c r="U102" s="1">
        <v>4.8000000000000001E-2</v>
      </c>
      <c r="W102" s="1">
        <v>4.8000000000000001E-2</v>
      </c>
      <c r="Y102" s="1">
        <v>4.6699999999999998E-2</v>
      </c>
      <c r="AA102">
        <v>1300</v>
      </c>
      <c r="AC102">
        <v>3800</v>
      </c>
    </row>
    <row r="103" spans="1:29" x14ac:dyDescent="0.3">
      <c r="A103" s="1"/>
      <c r="B103" s="1">
        <f t="shared" si="103"/>
        <v>0</v>
      </c>
      <c r="E103" s="140"/>
      <c r="F103" s="1"/>
      <c r="G103" s="140"/>
      <c r="H103" s="1"/>
      <c r="I103" s="140"/>
      <c r="J103" s="1"/>
      <c r="K103" s="140"/>
      <c r="L103" s="1"/>
      <c r="N103" s="1"/>
      <c r="Q103" s="1"/>
      <c r="S103" s="1"/>
      <c r="U103" s="1"/>
      <c r="W103" s="1"/>
      <c r="Y103" s="1"/>
      <c r="AA103">
        <v>1325</v>
      </c>
      <c r="AC103">
        <v>3900</v>
      </c>
    </row>
    <row r="104" spans="1:29" x14ac:dyDescent="0.3">
      <c r="A104" s="117" t="s">
        <v>223</v>
      </c>
      <c r="B104" s="1" t="str">
        <f t="shared" si="103"/>
        <v>MT4</v>
      </c>
      <c r="E104" s="140"/>
      <c r="F104" s="143" t="s">
        <v>185</v>
      </c>
      <c r="G104" s="140"/>
      <c r="H104" s="143" t="s">
        <v>185</v>
      </c>
      <c r="I104" s="140"/>
      <c r="J104" s="118" t="s">
        <v>185</v>
      </c>
      <c r="K104" s="140"/>
      <c r="L104" s="118" t="s">
        <v>185</v>
      </c>
      <c r="N104" s="118" t="s">
        <v>185</v>
      </c>
      <c r="Q104" s="118" t="s">
        <v>185</v>
      </c>
      <c r="S104" s="118" t="s">
        <v>185</v>
      </c>
      <c r="U104" s="118" t="s">
        <v>185</v>
      </c>
      <c r="W104" s="118" t="s">
        <v>185</v>
      </c>
      <c r="Y104" s="118" t="s">
        <v>185</v>
      </c>
      <c r="AA104">
        <v>1350</v>
      </c>
      <c r="AC104">
        <v>4000</v>
      </c>
    </row>
    <row r="105" spans="1:29" x14ac:dyDescent="0.3">
      <c r="A105" s="36" t="s">
        <v>122</v>
      </c>
      <c r="B105" s="1">
        <f t="shared" si="103"/>
        <v>9.48</v>
      </c>
      <c r="E105" s="140"/>
      <c r="F105" s="1">
        <v>9.48</v>
      </c>
      <c r="G105" s="140"/>
      <c r="H105" s="1">
        <v>10.79</v>
      </c>
      <c r="I105" s="140"/>
      <c r="J105" s="1">
        <v>5.72</v>
      </c>
      <c r="K105" s="140"/>
      <c r="L105" s="1">
        <v>13.64</v>
      </c>
      <c r="N105" s="1">
        <v>13.64</v>
      </c>
      <c r="Q105" s="1">
        <v>5.41</v>
      </c>
      <c r="S105" s="1">
        <v>13.96</v>
      </c>
      <c r="U105" s="1">
        <v>9.9499999999999993</v>
      </c>
      <c r="W105" s="1">
        <v>10.210000000000001</v>
      </c>
      <c r="Y105" s="1">
        <v>13.54</v>
      </c>
      <c r="AA105">
        <v>1375</v>
      </c>
      <c r="AC105">
        <v>4100</v>
      </c>
    </row>
    <row r="106" spans="1:29" x14ac:dyDescent="0.3">
      <c r="A106" s="37" t="s">
        <v>229</v>
      </c>
      <c r="B106" s="1">
        <f t="shared" si="103"/>
        <v>0.29099999999999998</v>
      </c>
      <c r="E106" s="140"/>
      <c r="F106" s="1">
        <v>0.29099999999999998</v>
      </c>
      <c r="G106" s="140"/>
      <c r="H106" s="1">
        <v>0.27989999999999998</v>
      </c>
      <c r="I106" s="140"/>
      <c r="J106" s="1">
        <v>0.29899999999999999</v>
      </c>
      <c r="K106" s="140"/>
      <c r="L106" s="1">
        <v>0.29620000000000002</v>
      </c>
      <c r="N106" s="1">
        <v>0.2908</v>
      </c>
      <c r="Q106" s="1">
        <v>0.2823</v>
      </c>
      <c r="S106" s="1">
        <v>0.3</v>
      </c>
      <c r="U106" s="1">
        <v>0.34079999999999999</v>
      </c>
      <c r="W106" s="1">
        <v>0.29070000000000001</v>
      </c>
      <c r="Y106" s="1">
        <v>0.29709999999999998</v>
      </c>
      <c r="AA106">
        <v>1400</v>
      </c>
      <c r="AC106">
        <v>4200</v>
      </c>
    </row>
    <row r="107" spans="1:29" ht="20" x14ac:dyDescent="0.3">
      <c r="A107" s="36" t="s">
        <v>204</v>
      </c>
      <c r="B107" s="1">
        <f t="shared" si="103"/>
        <v>0</v>
      </c>
      <c r="E107" s="140"/>
      <c r="F107" s="1"/>
      <c r="G107" s="140"/>
      <c r="H107" s="1"/>
      <c r="I107" s="140"/>
      <c r="J107" s="1"/>
      <c r="K107" s="140"/>
      <c r="L107" s="1"/>
      <c r="N107" s="1"/>
      <c r="Q107" s="1"/>
      <c r="S107" s="1"/>
      <c r="U107" s="1"/>
      <c r="W107" s="1"/>
      <c r="Y107" s="1"/>
      <c r="AA107">
        <v>1425</v>
      </c>
      <c r="AC107">
        <v>4300</v>
      </c>
    </row>
    <row r="108" spans="1:29" x14ac:dyDescent="0.3">
      <c r="A108" s="37" t="s">
        <v>206</v>
      </c>
      <c r="B108" s="1">
        <f t="shared" si="103"/>
        <v>58.71</v>
      </c>
      <c r="E108" s="140"/>
      <c r="F108" s="1">
        <v>58.71</v>
      </c>
      <c r="G108" s="140"/>
      <c r="H108" s="1">
        <v>59.4</v>
      </c>
      <c r="I108" s="140"/>
      <c r="J108" s="1">
        <v>57.44</v>
      </c>
      <c r="K108" s="140"/>
      <c r="L108" s="1">
        <v>27.04</v>
      </c>
      <c r="N108" s="1">
        <v>59.65</v>
      </c>
      <c r="Q108" s="1">
        <v>58.2</v>
      </c>
      <c r="S108" s="1">
        <v>62.15</v>
      </c>
      <c r="U108" s="1">
        <v>69.31</v>
      </c>
      <c r="W108" s="1">
        <v>60.28</v>
      </c>
      <c r="Y108" s="1">
        <v>27.07</v>
      </c>
      <c r="AA108">
        <v>1450</v>
      </c>
      <c r="AC108">
        <v>4400</v>
      </c>
    </row>
    <row r="109" spans="1:29" x14ac:dyDescent="0.3">
      <c r="A109" s="36" t="s">
        <v>209</v>
      </c>
      <c r="B109" s="1">
        <f t="shared" si="103"/>
        <v>36.83</v>
      </c>
      <c r="E109" s="140"/>
      <c r="F109" s="1">
        <v>36.83</v>
      </c>
      <c r="G109" s="140"/>
      <c r="H109" s="1">
        <v>37.35</v>
      </c>
      <c r="I109" s="140"/>
      <c r="J109" s="1">
        <v>40.1</v>
      </c>
      <c r="K109" s="140"/>
      <c r="L109" s="1">
        <v>17.28</v>
      </c>
      <c r="N109" s="1">
        <v>37.56</v>
      </c>
      <c r="Q109" s="1">
        <v>46.91</v>
      </c>
      <c r="S109" s="1">
        <v>39.74</v>
      </c>
      <c r="U109" s="1">
        <v>43.31</v>
      </c>
      <c r="W109" s="1">
        <v>37.799999999999997</v>
      </c>
      <c r="Y109" s="1">
        <v>17.3</v>
      </c>
      <c r="AA109">
        <v>1475</v>
      </c>
      <c r="AC109">
        <v>4500</v>
      </c>
    </row>
    <row r="110" spans="1:29" ht="20" x14ac:dyDescent="0.3">
      <c r="A110" s="37" t="s">
        <v>212</v>
      </c>
      <c r="B110" s="1">
        <f t="shared" si="103"/>
        <v>0</v>
      </c>
      <c r="E110" s="140"/>
      <c r="F110" s="1"/>
      <c r="G110" s="140"/>
      <c r="H110" s="1"/>
      <c r="I110" s="140"/>
      <c r="J110" s="1"/>
      <c r="K110" s="140"/>
      <c r="L110" s="1"/>
      <c r="N110" s="1"/>
      <c r="Q110" s="1"/>
      <c r="S110" s="1"/>
      <c r="U110" s="1"/>
      <c r="W110" s="1"/>
      <c r="Y110" s="1"/>
      <c r="AA110">
        <v>1500</v>
      </c>
      <c r="AC110">
        <v>4600</v>
      </c>
    </row>
    <row r="111" spans="1:29" x14ac:dyDescent="0.3">
      <c r="A111" s="36" t="s">
        <v>206</v>
      </c>
      <c r="B111" s="332">
        <f t="shared" si="103"/>
        <v>17.02</v>
      </c>
      <c r="E111" s="140"/>
      <c r="F111" s="1">
        <v>17.02</v>
      </c>
      <c r="G111" s="140"/>
      <c r="H111" s="1">
        <v>14.4</v>
      </c>
      <c r="I111" s="140"/>
      <c r="J111" s="1">
        <v>16.170000000000002</v>
      </c>
      <c r="K111" s="140"/>
      <c r="L111" s="1">
        <v>21.85</v>
      </c>
      <c r="N111" s="1">
        <v>19.03</v>
      </c>
      <c r="Q111" s="1">
        <v>18.79</v>
      </c>
      <c r="S111" s="1">
        <v>26.1</v>
      </c>
      <c r="U111" s="1">
        <v>13.78</v>
      </c>
      <c r="W111" s="1">
        <v>13.85</v>
      </c>
      <c r="Y111" s="1">
        <v>21.37</v>
      </c>
      <c r="AC111">
        <v>4700</v>
      </c>
    </row>
    <row r="112" spans="1:29" x14ac:dyDescent="0.3">
      <c r="A112" s="37" t="s">
        <v>209</v>
      </c>
      <c r="B112" s="1">
        <f t="shared" si="103"/>
        <v>16.809999999999999</v>
      </c>
      <c r="E112" s="140"/>
      <c r="F112" s="1">
        <v>16.809999999999999</v>
      </c>
      <c r="G112" s="140"/>
      <c r="H112" s="1">
        <v>14.44</v>
      </c>
      <c r="I112" s="140"/>
      <c r="J112" s="1">
        <v>15.97</v>
      </c>
      <c r="K112" s="140"/>
      <c r="L112" s="1">
        <v>22.34</v>
      </c>
      <c r="N112" s="1">
        <v>19.010000000000002</v>
      </c>
      <c r="Q112" s="1">
        <v>18.5</v>
      </c>
      <c r="S112" s="1">
        <v>25.96</v>
      </c>
      <c r="U112" s="1">
        <v>14.01</v>
      </c>
      <c r="W112" s="1">
        <v>13.98</v>
      </c>
      <c r="Y112" s="1">
        <v>21.85</v>
      </c>
      <c r="AC112">
        <v>4800</v>
      </c>
    </row>
    <row r="113" spans="1:29" ht="20" x14ac:dyDescent="0.3">
      <c r="A113" s="36" t="s">
        <v>186</v>
      </c>
      <c r="B113" s="1">
        <f t="shared" si="103"/>
        <v>4.82E-2</v>
      </c>
      <c r="E113" s="140"/>
      <c r="F113" s="1">
        <v>4.82E-2</v>
      </c>
      <c r="G113" s="140"/>
      <c r="H113" s="1">
        <v>4.82E-2</v>
      </c>
      <c r="I113" s="140"/>
      <c r="J113" s="1">
        <v>5.3699999999999998E-2</v>
      </c>
      <c r="K113" s="140"/>
      <c r="L113" s="1">
        <v>4.6699999999999998E-2</v>
      </c>
      <c r="N113" s="1">
        <v>4.8000000000000001E-2</v>
      </c>
      <c r="Q113" s="1">
        <v>5.3600000000000002E-2</v>
      </c>
      <c r="S113" s="1">
        <v>4.8000000000000001E-2</v>
      </c>
      <c r="U113" s="1">
        <v>4.8000000000000001E-2</v>
      </c>
      <c r="W113" s="1">
        <v>4.8000000000000001E-2</v>
      </c>
      <c r="Y113" s="1">
        <v>4.6699999999999998E-2</v>
      </c>
      <c r="AC113">
        <v>4900</v>
      </c>
    </row>
    <row r="114" spans="1:29" x14ac:dyDescent="0.3">
      <c r="A114" s="117" t="s">
        <v>193</v>
      </c>
      <c r="B114" s="1" t="str">
        <f t="shared" si="103"/>
        <v>BT5A</v>
      </c>
      <c r="E114" s="140"/>
      <c r="F114" s="143" t="s">
        <v>188</v>
      </c>
      <c r="G114" s="140"/>
      <c r="H114" s="143" t="s">
        <v>188</v>
      </c>
      <c r="I114" s="140"/>
      <c r="J114" s="118" t="s">
        <v>188</v>
      </c>
      <c r="K114" s="140"/>
      <c r="L114" s="118" t="s">
        <v>188</v>
      </c>
      <c r="N114" s="118" t="s">
        <v>188</v>
      </c>
      <c r="Q114" s="118" t="s">
        <v>188</v>
      </c>
      <c r="S114" s="118" t="s">
        <v>188</v>
      </c>
      <c r="U114" s="118" t="s">
        <v>188</v>
      </c>
      <c r="W114" s="118" t="s">
        <v>188</v>
      </c>
      <c r="Y114" s="118" t="s">
        <v>188</v>
      </c>
      <c r="AC114">
        <v>5000</v>
      </c>
    </row>
    <row r="115" spans="1:29" x14ac:dyDescent="0.3">
      <c r="A115" s="36" t="s">
        <v>122</v>
      </c>
      <c r="B115" s="1">
        <f t="shared" si="103"/>
        <v>9.48</v>
      </c>
      <c r="E115" s="140"/>
      <c r="F115" s="38">
        <v>9.48</v>
      </c>
      <c r="G115" s="140"/>
      <c r="H115" s="38">
        <v>10.79</v>
      </c>
      <c r="I115" s="140"/>
      <c r="J115" s="38">
        <v>5.72</v>
      </c>
      <c r="K115" s="140"/>
      <c r="L115" s="38">
        <v>13.64</v>
      </c>
      <c r="N115" s="38">
        <v>8.4</v>
      </c>
      <c r="Q115" s="38">
        <v>5.41</v>
      </c>
      <c r="S115" s="38">
        <v>13.96</v>
      </c>
      <c r="U115" s="38">
        <v>9.9499999999999993</v>
      </c>
      <c r="W115" s="38">
        <v>10.210000000000001</v>
      </c>
      <c r="Y115" s="38">
        <v>13.54</v>
      </c>
      <c r="AC115">
        <v>5100</v>
      </c>
    </row>
    <row r="116" spans="1:29" x14ac:dyDescent="0.3">
      <c r="A116" s="1" t="s">
        <v>199</v>
      </c>
      <c r="B116" s="1">
        <f t="shared" si="103"/>
        <v>0</v>
      </c>
      <c r="E116" s="140"/>
      <c r="F116" s="38"/>
      <c r="G116" s="140"/>
      <c r="H116" s="38"/>
      <c r="I116" s="140"/>
      <c r="J116" s="38"/>
      <c r="K116" s="140"/>
      <c r="L116" s="38"/>
      <c r="N116" s="38"/>
      <c r="Q116" s="38"/>
      <c r="S116" s="38"/>
      <c r="U116" s="38"/>
      <c r="W116" s="38"/>
      <c r="Y116" s="38"/>
      <c r="AC116">
        <v>5200</v>
      </c>
    </row>
    <row r="117" spans="1:29" x14ac:dyDescent="0.3">
      <c r="A117" s="39" t="s">
        <v>127</v>
      </c>
      <c r="B117" s="1">
        <f t="shared" si="103"/>
        <v>2.0501</v>
      </c>
      <c r="E117" s="140"/>
      <c r="F117" s="38">
        <v>2.0501</v>
      </c>
      <c r="G117" s="140"/>
      <c r="H117" s="38">
        <v>1.8394999999999999</v>
      </c>
      <c r="I117" s="140"/>
      <c r="J117" s="38">
        <v>2.972</v>
      </c>
      <c r="K117" s="140"/>
      <c r="L117" s="38">
        <v>1.6065</v>
      </c>
      <c r="N117" s="38">
        <v>2.1482999999999999</v>
      </c>
      <c r="Q117" s="38">
        <v>2.1362000000000001</v>
      </c>
      <c r="S117" s="38">
        <v>2.4077000000000002</v>
      </c>
      <c r="U117" s="38">
        <v>2.0844</v>
      </c>
      <c r="W117" s="38">
        <v>1.8635999999999999</v>
      </c>
      <c r="Y117" s="38">
        <v>1.5861000000000001</v>
      </c>
      <c r="AC117">
        <v>5300</v>
      </c>
    </row>
    <row r="118" spans="1:29" x14ac:dyDescent="0.3">
      <c r="A118" s="40" t="s">
        <v>136</v>
      </c>
      <c r="B118" s="1">
        <f t="shared" ref="B118:B142" si="109">_xlfn.XLOOKUP($A$46,$F$51:$Y$51,F118:Y118)</f>
        <v>0.30120000000000002</v>
      </c>
      <c r="E118" s="140"/>
      <c r="F118" s="38">
        <v>0.30120000000000002</v>
      </c>
      <c r="G118" s="140"/>
      <c r="H118" s="38">
        <v>0.2853</v>
      </c>
      <c r="I118" s="140"/>
      <c r="J118" s="38">
        <v>0.31430000000000002</v>
      </c>
      <c r="K118" s="140"/>
      <c r="L118" s="38">
        <v>0.32250000000000001</v>
      </c>
      <c r="N118" s="38">
        <v>0.30430000000000001</v>
      </c>
      <c r="Q118" s="38">
        <v>0.2989</v>
      </c>
      <c r="S118" s="38">
        <v>0.30819999999999997</v>
      </c>
      <c r="U118" s="38">
        <v>0.3569</v>
      </c>
      <c r="W118" s="38">
        <v>0.29770000000000002</v>
      </c>
      <c r="Y118" s="38">
        <v>0.32350000000000001</v>
      </c>
      <c r="AC118">
        <v>5400</v>
      </c>
    </row>
    <row r="119" spans="1:29" x14ac:dyDescent="0.3">
      <c r="A119" s="39" t="s">
        <v>207</v>
      </c>
      <c r="B119" s="1">
        <f t="shared" si="109"/>
        <v>78.66</v>
      </c>
      <c r="E119" s="140"/>
      <c r="F119" s="38">
        <v>78.66</v>
      </c>
      <c r="G119" s="140"/>
      <c r="H119" s="38">
        <v>63.94</v>
      </c>
      <c r="I119" s="140"/>
      <c r="J119" s="38">
        <v>47.36</v>
      </c>
      <c r="K119" s="140"/>
      <c r="L119" s="38">
        <v>75.16</v>
      </c>
      <c r="N119" s="38">
        <v>87.23</v>
      </c>
      <c r="Q119" s="38">
        <v>83.34</v>
      </c>
      <c r="S119" s="38">
        <v>103.64</v>
      </c>
      <c r="U119" s="38">
        <v>63.68</v>
      </c>
      <c r="W119" s="38">
        <v>64.930000000000007</v>
      </c>
      <c r="Y119" s="38">
        <v>73.39</v>
      </c>
      <c r="AC119">
        <v>5500</v>
      </c>
    </row>
    <row r="120" spans="1:29" x14ac:dyDescent="0.3">
      <c r="A120" s="1" t="s">
        <v>210</v>
      </c>
      <c r="B120" s="1">
        <f t="shared" si="109"/>
        <v>0</v>
      </c>
      <c r="E120" s="140"/>
      <c r="F120" s="1"/>
      <c r="G120" s="140"/>
      <c r="H120" s="1"/>
      <c r="I120" s="140"/>
      <c r="J120" s="1"/>
      <c r="K120" s="140"/>
      <c r="L120" s="1"/>
      <c r="N120" s="1"/>
      <c r="Q120" s="1"/>
      <c r="S120" s="1"/>
      <c r="U120" s="1"/>
      <c r="W120" s="1"/>
      <c r="Y120" s="1"/>
      <c r="AC120">
        <v>5600</v>
      </c>
    </row>
    <row r="121" spans="1:29" x14ac:dyDescent="0.3">
      <c r="A121" s="39" t="s">
        <v>127</v>
      </c>
      <c r="B121" s="1">
        <f t="shared" si="109"/>
        <v>2.4232999999999998</v>
      </c>
      <c r="E121" s="140"/>
      <c r="F121" s="1">
        <v>2.4232999999999998</v>
      </c>
      <c r="G121" s="140"/>
      <c r="H121" s="1">
        <v>2.1707999999999998</v>
      </c>
      <c r="I121" s="140"/>
      <c r="J121" s="1">
        <v>3.8395999999999999</v>
      </c>
      <c r="K121" s="140"/>
      <c r="L121" s="1">
        <v>1.8902000000000001</v>
      </c>
      <c r="N121" s="1">
        <v>2.5434000000000001</v>
      </c>
      <c r="Q121" s="1">
        <v>2.5310999999999999</v>
      </c>
      <c r="S121" s="1">
        <v>2.8553000000000002</v>
      </c>
      <c r="U121" s="1">
        <v>2.4516</v>
      </c>
      <c r="W121" s="1">
        <v>2.1977000000000002</v>
      </c>
      <c r="Y121" s="1">
        <v>1.865</v>
      </c>
      <c r="AC121">
        <v>5700</v>
      </c>
    </row>
    <row r="122" spans="1:29" x14ac:dyDescent="0.3">
      <c r="A122" s="40" t="s">
        <v>136</v>
      </c>
      <c r="B122" s="1">
        <f t="shared" si="109"/>
        <v>0.30120000000000002</v>
      </c>
      <c r="E122" s="140"/>
      <c r="F122" s="1">
        <v>0.30120000000000002</v>
      </c>
      <c r="G122" s="140"/>
      <c r="H122" s="1">
        <v>0.2853</v>
      </c>
      <c r="I122" s="140"/>
      <c r="J122" s="137">
        <v>0.31430000000000002</v>
      </c>
      <c r="K122" s="140"/>
      <c r="L122" s="38">
        <v>0.32250000000000001</v>
      </c>
      <c r="N122" s="38">
        <v>0.30430000000000001</v>
      </c>
      <c r="Q122" s="38">
        <v>0.2989</v>
      </c>
      <c r="S122" s="38">
        <v>0.30819999999999997</v>
      </c>
      <c r="U122" s="38">
        <v>0.3569</v>
      </c>
      <c r="W122" s="38">
        <v>0.29770000000000002</v>
      </c>
      <c r="Y122" s="38">
        <v>0.32350000000000001</v>
      </c>
      <c r="AC122">
        <v>5800</v>
      </c>
    </row>
    <row r="123" spans="1:29" x14ac:dyDescent="0.3">
      <c r="A123" s="39" t="s">
        <v>207</v>
      </c>
      <c r="B123" s="1">
        <f t="shared" si="109"/>
        <v>78.66</v>
      </c>
      <c r="E123" s="140"/>
      <c r="F123" s="38">
        <v>78.66</v>
      </c>
      <c r="G123" s="140"/>
      <c r="H123" s="38">
        <v>63.94</v>
      </c>
      <c r="I123" s="140"/>
      <c r="J123" s="38">
        <v>47.36</v>
      </c>
      <c r="K123" s="140"/>
      <c r="L123" s="38">
        <v>75.16</v>
      </c>
      <c r="N123" s="38">
        <v>87.23</v>
      </c>
      <c r="Q123" s="38">
        <v>83.34</v>
      </c>
      <c r="S123" s="38">
        <v>103.64</v>
      </c>
      <c r="U123" s="38">
        <v>63.68</v>
      </c>
      <c r="W123" s="38">
        <v>64.930000000000007</v>
      </c>
      <c r="Y123" s="38">
        <v>73.39</v>
      </c>
      <c r="AC123">
        <v>5900</v>
      </c>
    </row>
    <row r="124" spans="1:29" x14ac:dyDescent="0.3">
      <c r="A124" s="1"/>
      <c r="B124" s="1">
        <f t="shared" si="109"/>
        <v>0</v>
      </c>
      <c r="E124" s="140"/>
      <c r="F124" s="1"/>
      <c r="G124" s="140"/>
      <c r="H124" s="1"/>
      <c r="I124" s="140"/>
      <c r="J124" s="1"/>
      <c r="K124" s="140"/>
      <c r="L124" s="1"/>
      <c r="N124" s="1"/>
      <c r="Q124" s="1"/>
      <c r="S124" s="1"/>
      <c r="U124" s="1"/>
      <c r="W124" s="1"/>
      <c r="Y124" s="1"/>
      <c r="AC124">
        <v>6000</v>
      </c>
    </row>
    <row r="125" spans="1:29" x14ac:dyDescent="0.3">
      <c r="A125" s="1"/>
      <c r="B125" s="1">
        <f t="shared" si="109"/>
        <v>0</v>
      </c>
      <c r="E125" s="140"/>
      <c r="F125" s="1"/>
      <c r="G125" s="140"/>
      <c r="H125" s="1"/>
      <c r="I125" s="140"/>
      <c r="J125" s="1"/>
      <c r="K125" s="140"/>
      <c r="L125" s="1"/>
      <c r="N125" s="1"/>
      <c r="Q125" s="1"/>
      <c r="S125" s="1"/>
      <c r="U125" s="1"/>
      <c r="W125" s="1"/>
      <c r="Y125" s="1"/>
      <c r="AC125">
        <v>6100</v>
      </c>
    </row>
    <row r="126" spans="1:29" x14ac:dyDescent="0.3">
      <c r="A126" s="117" t="s">
        <v>224</v>
      </c>
      <c r="B126" s="1" t="str">
        <f t="shared" si="109"/>
        <v>BT5B</v>
      </c>
      <c r="E126" s="140"/>
      <c r="F126" s="143" t="s">
        <v>50</v>
      </c>
      <c r="G126" s="140"/>
      <c r="H126" s="143" t="s">
        <v>50</v>
      </c>
      <c r="I126" s="140"/>
      <c r="J126" s="118" t="s">
        <v>50</v>
      </c>
      <c r="K126" s="140"/>
      <c r="L126" s="118" t="s">
        <v>50</v>
      </c>
      <c r="N126" s="118" t="s">
        <v>50</v>
      </c>
      <c r="Q126" s="118" t="s">
        <v>50</v>
      </c>
      <c r="S126" s="118" t="s">
        <v>50</v>
      </c>
      <c r="U126" s="118" t="s">
        <v>50</v>
      </c>
      <c r="W126" s="118" t="s">
        <v>50</v>
      </c>
      <c r="Y126" s="118" t="s">
        <v>50</v>
      </c>
      <c r="AC126">
        <v>6200</v>
      </c>
    </row>
    <row r="127" spans="1:29" x14ac:dyDescent="0.3">
      <c r="A127" s="36" t="s">
        <v>122</v>
      </c>
      <c r="B127" s="1">
        <f t="shared" si="109"/>
        <v>3.69</v>
      </c>
      <c r="E127" s="140"/>
      <c r="F127" s="1">
        <v>3.69</v>
      </c>
      <c r="G127" s="140"/>
      <c r="H127" s="1">
        <v>3.5</v>
      </c>
      <c r="I127" s="140"/>
      <c r="J127" s="1">
        <v>2.2200000000000002</v>
      </c>
      <c r="K127" s="140"/>
      <c r="L127" s="1">
        <v>5.08</v>
      </c>
      <c r="N127" s="1">
        <v>3.5</v>
      </c>
      <c r="Q127" s="1">
        <v>4.01</v>
      </c>
      <c r="S127" s="1">
        <v>4</v>
      </c>
      <c r="U127" s="1">
        <v>4.3499999999999996</v>
      </c>
      <c r="W127" s="1">
        <v>3.59</v>
      </c>
      <c r="Y127" s="1">
        <v>5.04</v>
      </c>
      <c r="AC127">
        <v>6300</v>
      </c>
    </row>
    <row r="128" spans="1:29" x14ac:dyDescent="0.3">
      <c r="A128" s="1" t="s">
        <v>230</v>
      </c>
      <c r="B128" s="1">
        <f t="shared" si="109"/>
        <v>0</v>
      </c>
      <c r="E128" s="140"/>
      <c r="F128" s="1"/>
      <c r="G128" s="140"/>
      <c r="H128" s="1"/>
      <c r="I128" s="140"/>
      <c r="J128" s="1"/>
      <c r="K128" s="140"/>
      <c r="L128" s="1"/>
      <c r="N128" s="1"/>
      <c r="Q128" s="1"/>
      <c r="S128" s="1"/>
      <c r="U128" s="1"/>
      <c r="W128" s="1"/>
      <c r="Y128" s="1"/>
      <c r="AC128">
        <v>6400</v>
      </c>
    </row>
    <row r="129" spans="1:29" x14ac:dyDescent="0.3">
      <c r="A129" s="1" t="s">
        <v>233</v>
      </c>
      <c r="B129" s="1">
        <f t="shared" si="109"/>
        <v>0</v>
      </c>
      <c r="E129" s="140"/>
      <c r="F129" s="1"/>
      <c r="G129" s="140"/>
      <c r="H129" s="1"/>
      <c r="I129" s="140"/>
      <c r="J129" s="1"/>
      <c r="K129" s="140"/>
      <c r="L129" s="1"/>
      <c r="N129" s="1"/>
      <c r="Q129" s="1"/>
      <c r="S129" s="1"/>
      <c r="U129" s="1"/>
      <c r="W129" s="1"/>
      <c r="Y129" s="1"/>
      <c r="AC129">
        <v>6500</v>
      </c>
    </row>
    <row r="130" spans="1:29" x14ac:dyDescent="0.3">
      <c r="A130" s="39" t="s">
        <v>229</v>
      </c>
      <c r="B130" s="1">
        <f t="shared" si="109"/>
        <v>0.7137</v>
      </c>
      <c r="E130" s="140"/>
      <c r="F130" s="1">
        <v>0.7137</v>
      </c>
      <c r="G130" s="140"/>
      <c r="H130" s="1">
        <v>0.7248</v>
      </c>
      <c r="I130" s="140"/>
      <c r="J130" s="1">
        <v>0.63239999999999996</v>
      </c>
      <c r="K130" s="140"/>
      <c r="L130" s="1">
        <v>0.64970000000000006</v>
      </c>
      <c r="N130" s="1">
        <v>0.74970000000000003</v>
      </c>
      <c r="Q130" s="1">
        <v>0.72689999999999999</v>
      </c>
      <c r="S130" s="1">
        <v>0.80130000000000001</v>
      </c>
      <c r="U130" s="1">
        <v>0.77990000000000004</v>
      </c>
      <c r="W130" s="1">
        <v>0.70430000000000004</v>
      </c>
      <c r="Y130" s="1">
        <v>0.64529999999999998</v>
      </c>
      <c r="AC130">
        <v>6600</v>
      </c>
    </row>
    <row r="131" spans="1:29" x14ac:dyDescent="0.3">
      <c r="A131" s="1" t="s">
        <v>237</v>
      </c>
      <c r="B131" s="1">
        <f t="shared" si="109"/>
        <v>0</v>
      </c>
      <c r="E131" s="140"/>
      <c r="F131" s="1"/>
      <c r="G131" s="140"/>
      <c r="H131" s="1"/>
      <c r="I131" s="140"/>
      <c r="J131" s="1"/>
      <c r="K131" s="140"/>
      <c r="L131" s="1"/>
      <c r="N131" s="1"/>
      <c r="Q131" s="1"/>
      <c r="S131" s="1"/>
      <c r="U131" s="1"/>
      <c r="W131" s="1"/>
      <c r="Y131" s="1"/>
      <c r="AC131">
        <v>6700</v>
      </c>
    </row>
    <row r="132" spans="1:29" x14ac:dyDescent="0.3">
      <c r="A132" s="39" t="s">
        <v>229</v>
      </c>
      <c r="B132" s="1">
        <f t="shared" si="109"/>
        <v>0.73650000000000004</v>
      </c>
      <c r="E132" s="140"/>
      <c r="F132" s="1">
        <v>0.73650000000000004</v>
      </c>
      <c r="G132" s="140"/>
      <c r="H132" s="1">
        <v>0.748</v>
      </c>
      <c r="I132" s="140"/>
      <c r="J132" s="1">
        <v>0.65259999999999996</v>
      </c>
      <c r="K132" s="140"/>
      <c r="L132" s="1">
        <v>0.64970000000000006</v>
      </c>
      <c r="N132" s="1">
        <v>0.77070000000000005</v>
      </c>
      <c r="Q132" s="1">
        <v>0.74729999999999996</v>
      </c>
      <c r="S132" s="1">
        <v>0.82369999999999999</v>
      </c>
      <c r="U132" s="1">
        <v>0.80169999999999997</v>
      </c>
      <c r="W132" s="1">
        <v>0.72399999999999998</v>
      </c>
      <c r="Y132" s="1">
        <v>0.64529999999999998</v>
      </c>
      <c r="AC132">
        <v>6800</v>
      </c>
    </row>
    <row r="133" spans="1:29" x14ac:dyDescent="0.3">
      <c r="A133" s="1"/>
      <c r="B133" s="1">
        <f t="shared" si="109"/>
        <v>0</v>
      </c>
      <c r="E133" s="140"/>
      <c r="F133" s="1"/>
      <c r="G133" s="140"/>
      <c r="H133" s="1"/>
      <c r="I133" s="140"/>
      <c r="J133" s="1"/>
      <c r="K133" s="140"/>
      <c r="L133" s="1"/>
      <c r="N133" s="1"/>
      <c r="Q133" s="1"/>
      <c r="S133" s="1"/>
      <c r="U133" s="1"/>
      <c r="W133" s="1"/>
      <c r="Y133" s="1"/>
      <c r="AC133">
        <v>6900</v>
      </c>
    </row>
    <row r="134" spans="1:29" x14ac:dyDescent="0.3">
      <c r="A134" s="1"/>
      <c r="B134" s="1">
        <f t="shared" si="109"/>
        <v>0</v>
      </c>
      <c r="E134" s="140"/>
      <c r="F134" s="1"/>
      <c r="G134" s="140"/>
      <c r="H134" s="1"/>
      <c r="I134" s="140"/>
      <c r="J134" s="1"/>
      <c r="K134" s="140"/>
      <c r="L134" s="1"/>
      <c r="N134" s="1"/>
      <c r="Q134" s="1"/>
      <c r="S134" s="1"/>
      <c r="U134" s="1"/>
      <c r="W134" s="1"/>
      <c r="Y134" s="1"/>
      <c r="AC134">
        <v>7000</v>
      </c>
    </row>
    <row r="135" spans="1:29" x14ac:dyDescent="0.3">
      <c r="A135" s="1" t="s">
        <v>242</v>
      </c>
      <c r="B135" s="1" t="str">
        <f t="shared" si="109"/>
        <v>BT5F</v>
      </c>
      <c r="E135" s="140"/>
      <c r="F135" s="41" t="s">
        <v>195</v>
      </c>
      <c r="G135" s="140"/>
      <c r="H135" s="41" t="s">
        <v>195</v>
      </c>
      <c r="I135" s="140"/>
      <c r="J135" s="41" t="s">
        <v>195</v>
      </c>
      <c r="K135" s="140"/>
      <c r="L135" s="41" t="s">
        <v>195</v>
      </c>
      <c r="N135" s="41" t="s">
        <v>195</v>
      </c>
      <c r="Q135" s="41" t="s">
        <v>195</v>
      </c>
      <c r="S135" s="41" t="s">
        <v>195</v>
      </c>
      <c r="U135" s="41" t="s">
        <v>195</v>
      </c>
      <c r="W135" s="41" t="s">
        <v>195</v>
      </c>
      <c r="Y135" s="41" t="s">
        <v>195</v>
      </c>
      <c r="AC135">
        <v>7100</v>
      </c>
    </row>
    <row r="136" spans="1:29" x14ac:dyDescent="0.3">
      <c r="A136" s="36" t="s">
        <v>122</v>
      </c>
      <c r="B136" s="1">
        <f t="shared" si="109"/>
        <v>9.19</v>
      </c>
      <c r="E136" s="140"/>
      <c r="F136" s="1">
        <v>9.19</v>
      </c>
      <c r="G136" s="140"/>
      <c r="H136" s="1">
        <v>10.79</v>
      </c>
      <c r="I136" s="140"/>
      <c r="J136" s="1">
        <v>5.72</v>
      </c>
      <c r="K136" s="140"/>
      <c r="L136" s="1">
        <v>13.64</v>
      </c>
      <c r="N136" s="1">
        <v>8.17</v>
      </c>
      <c r="Q136" s="1">
        <v>5.26</v>
      </c>
      <c r="S136" s="1">
        <v>4</v>
      </c>
      <c r="U136" s="1">
        <v>9.9499999999999993</v>
      </c>
      <c r="W136" s="1">
        <v>10.210000000000001</v>
      </c>
      <c r="Y136" s="1">
        <v>13.54</v>
      </c>
      <c r="AC136">
        <v>7200</v>
      </c>
    </row>
    <row r="137" spans="1:29" x14ac:dyDescent="0.3">
      <c r="A137" s="1" t="s">
        <v>243</v>
      </c>
      <c r="B137" s="1">
        <f t="shared" si="109"/>
        <v>0</v>
      </c>
      <c r="E137" s="140"/>
      <c r="F137" s="1"/>
      <c r="G137" s="140"/>
      <c r="H137" s="1"/>
      <c r="I137" s="140"/>
      <c r="J137" s="1"/>
      <c r="K137" s="140"/>
      <c r="L137" s="1"/>
      <c r="N137" s="1"/>
      <c r="Q137" s="1"/>
      <c r="S137" s="1"/>
      <c r="U137" s="1"/>
      <c r="W137" s="1"/>
      <c r="Y137" s="1"/>
      <c r="AC137">
        <v>7300</v>
      </c>
    </row>
    <row r="138" spans="1:29" x14ac:dyDescent="0.3">
      <c r="A138" s="1" t="s">
        <v>233</v>
      </c>
      <c r="B138" s="1">
        <f t="shared" si="109"/>
        <v>0</v>
      </c>
      <c r="E138" s="140"/>
      <c r="F138" s="1"/>
      <c r="G138" s="140"/>
      <c r="H138" s="1"/>
      <c r="I138" s="140"/>
      <c r="J138" s="1"/>
      <c r="K138" s="140"/>
      <c r="L138" s="1"/>
      <c r="N138" s="1"/>
      <c r="Q138" s="1"/>
      <c r="S138" s="1"/>
      <c r="U138" s="1"/>
      <c r="W138" s="1"/>
      <c r="Y138" s="1"/>
      <c r="AC138">
        <v>7400</v>
      </c>
    </row>
    <row r="139" spans="1:29" x14ac:dyDescent="0.3">
      <c r="A139" s="39" t="s">
        <v>127</v>
      </c>
      <c r="B139" s="1">
        <f t="shared" si="109"/>
        <v>1.1592</v>
      </c>
      <c r="E139" s="140"/>
      <c r="F139" s="1">
        <v>1.1592</v>
      </c>
      <c r="G139" s="140"/>
      <c r="H139" s="1">
        <v>1.1222000000000001</v>
      </c>
      <c r="I139" s="140"/>
      <c r="J139" s="1">
        <v>1.0945</v>
      </c>
      <c r="K139" s="140"/>
      <c r="L139" s="1">
        <v>0.83450000000000002</v>
      </c>
      <c r="N139" s="1">
        <v>1.1916</v>
      </c>
      <c r="Q139" s="1">
        <v>1.1928000000000001</v>
      </c>
      <c r="S139" s="1">
        <v>0.80130000000000001</v>
      </c>
      <c r="U139" s="1">
        <v>1.3051999999999999</v>
      </c>
      <c r="W139" s="1">
        <v>1.1267</v>
      </c>
      <c r="Y139" s="1">
        <v>0.83030000000000004</v>
      </c>
      <c r="AC139">
        <v>7500</v>
      </c>
    </row>
    <row r="140" spans="1:29" x14ac:dyDescent="0.3">
      <c r="A140" s="40" t="s">
        <v>136</v>
      </c>
      <c r="B140" s="1">
        <f t="shared" si="109"/>
        <v>0.51680000000000004</v>
      </c>
      <c r="E140" s="140"/>
      <c r="F140" s="1">
        <v>0.51680000000000004</v>
      </c>
      <c r="G140" s="140"/>
      <c r="H140" s="1">
        <v>0.49630000000000002</v>
      </c>
      <c r="I140" s="140"/>
      <c r="J140" s="1">
        <v>0.45369999999999999</v>
      </c>
      <c r="K140" s="140"/>
      <c r="L140" s="1">
        <v>0.56259999999999999</v>
      </c>
      <c r="N140" s="1">
        <v>0.54990000000000006</v>
      </c>
      <c r="Q140" s="1">
        <v>0.5343</v>
      </c>
      <c r="S140" s="1">
        <v>0.62890000000000001</v>
      </c>
      <c r="U140" s="1">
        <v>0.53580000000000005</v>
      </c>
      <c r="W140" s="1">
        <v>0.4914</v>
      </c>
      <c r="Y140" s="1">
        <v>0.55810000000000004</v>
      </c>
      <c r="AC140">
        <v>7600</v>
      </c>
    </row>
    <row r="141" spans="1:29" x14ac:dyDescent="0.3">
      <c r="A141" s="1" t="s">
        <v>237</v>
      </c>
      <c r="B141" s="1">
        <f t="shared" si="109"/>
        <v>0</v>
      </c>
      <c r="E141" s="140"/>
      <c r="F141" s="1"/>
      <c r="G141" s="140"/>
      <c r="H141" s="1"/>
      <c r="I141" s="140"/>
      <c r="J141" s="1"/>
      <c r="K141" s="140"/>
      <c r="L141" s="1"/>
      <c r="N141" s="1"/>
      <c r="Q141" s="1"/>
      <c r="S141" s="1"/>
      <c r="U141" s="1"/>
      <c r="W141" s="1"/>
      <c r="Y141" s="1"/>
      <c r="AC141">
        <v>7700</v>
      </c>
    </row>
    <row r="142" spans="1:29" x14ac:dyDescent="0.3">
      <c r="A142" s="39" t="s">
        <v>127</v>
      </c>
      <c r="B142" s="1">
        <f t="shared" si="109"/>
        <v>1.1962999999999999</v>
      </c>
      <c r="E142" s="140"/>
      <c r="F142" s="1">
        <v>1.1962999999999999</v>
      </c>
      <c r="G142" s="140"/>
      <c r="H142" s="1">
        <v>1.1580999999999999</v>
      </c>
      <c r="I142" s="140"/>
      <c r="J142" s="1">
        <v>1.1294999999999999</v>
      </c>
      <c r="K142" s="140"/>
      <c r="L142" s="1">
        <v>0.83450000000000002</v>
      </c>
      <c r="N142" s="1">
        <v>1.2250000000000001</v>
      </c>
      <c r="Q142" s="1">
        <v>1.2262</v>
      </c>
      <c r="S142" s="1">
        <v>0.82369999999999999</v>
      </c>
      <c r="U142" s="1">
        <v>1.3416999999999999</v>
      </c>
      <c r="W142" s="1">
        <v>1.1581999999999999</v>
      </c>
      <c r="Y142" s="1">
        <v>0.83030000000000004</v>
      </c>
      <c r="AC142">
        <v>7800</v>
      </c>
    </row>
    <row r="143" spans="1:29" x14ac:dyDescent="0.3">
      <c r="A143" s="40" t="s">
        <v>136</v>
      </c>
      <c r="B143" s="1">
        <f>_xlfn.XLOOKUP($A$46,$F$51:$Y$51,F143:Y143)</f>
        <v>0.5333</v>
      </c>
      <c r="E143" s="140"/>
      <c r="F143" s="1">
        <v>0.5333</v>
      </c>
      <c r="G143" s="140"/>
      <c r="H143" s="1">
        <v>0.51219999999999999</v>
      </c>
      <c r="I143" s="140"/>
      <c r="J143" s="1">
        <v>0.46820000000000001</v>
      </c>
      <c r="K143" s="140"/>
      <c r="L143" s="1">
        <v>0.56259999999999999</v>
      </c>
      <c r="N143" s="1">
        <v>0.56530000000000002</v>
      </c>
      <c r="Q143" s="1">
        <v>0.54930000000000001</v>
      </c>
      <c r="S143" s="1">
        <v>0.64649999999999996</v>
      </c>
      <c r="U143" s="1">
        <v>0.55079999999999996</v>
      </c>
      <c r="W143" s="1">
        <v>0.50519999999999998</v>
      </c>
      <c r="Y143" s="1">
        <v>0.55810000000000004</v>
      </c>
      <c r="AC143">
        <v>7900</v>
      </c>
    </row>
    <row r="144" spans="1:29" x14ac:dyDescent="0.3">
      <c r="W144" s="52"/>
      <c r="AC144">
        <v>8000</v>
      </c>
    </row>
    <row r="145" spans="14:29" x14ac:dyDescent="0.3">
      <c r="N145" s="313" t="s">
        <v>484</v>
      </c>
      <c r="Q145" s="319" t="s">
        <v>486</v>
      </c>
      <c r="S145" s="319" t="s">
        <v>487</v>
      </c>
      <c r="U145" s="319" t="s">
        <v>489</v>
      </c>
      <c r="W145" s="320" t="s">
        <v>491</v>
      </c>
      <c r="Y145" s="319" t="s">
        <v>494</v>
      </c>
      <c r="AC145">
        <v>8100</v>
      </c>
    </row>
    <row r="146" spans="14:29" x14ac:dyDescent="0.3">
      <c r="Q146" s="319" t="s">
        <v>493</v>
      </c>
      <c r="S146" s="319" t="s">
        <v>488</v>
      </c>
      <c r="U146" s="319" t="s">
        <v>490</v>
      </c>
      <c r="W146" s="320" t="s">
        <v>492</v>
      </c>
      <c r="Y146" s="319" t="s">
        <v>495</v>
      </c>
      <c r="AC146">
        <v>8200</v>
      </c>
    </row>
    <row r="147" spans="14:29" x14ac:dyDescent="0.3">
      <c r="AC147">
        <v>8300</v>
      </c>
    </row>
    <row r="148" spans="14:29" x14ac:dyDescent="0.3">
      <c r="AC148">
        <v>8400</v>
      </c>
    </row>
    <row r="149" spans="14:29" x14ac:dyDescent="0.3">
      <c r="AC149">
        <v>8500</v>
      </c>
    </row>
    <row r="150" spans="14:29" x14ac:dyDescent="0.3">
      <c r="AC150">
        <v>8600</v>
      </c>
    </row>
    <row r="151" spans="14:29" x14ac:dyDescent="0.3">
      <c r="AC151">
        <v>8700</v>
      </c>
    </row>
    <row r="152" spans="14:29" x14ac:dyDescent="0.3">
      <c r="AC152">
        <v>8800</v>
      </c>
    </row>
    <row r="153" spans="14:29" x14ac:dyDescent="0.3">
      <c r="AC153">
        <v>8900</v>
      </c>
    </row>
    <row r="154" spans="14:29" x14ac:dyDescent="0.3">
      <c r="AC154">
        <v>9000</v>
      </c>
    </row>
    <row r="155" spans="14:29" x14ac:dyDescent="0.3">
      <c r="AC155">
        <v>9100</v>
      </c>
    </row>
    <row r="156" spans="14:29" x14ac:dyDescent="0.3">
      <c r="AC156">
        <v>9200</v>
      </c>
    </row>
    <row r="157" spans="14:29" x14ac:dyDescent="0.3">
      <c r="AC157">
        <v>9300</v>
      </c>
    </row>
    <row r="158" spans="14:29" x14ac:dyDescent="0.3">
      <c r="AC158">
        <v>9400</v>
      </c>
    </row>
    <row r="159" spans="14:29" x14ac:dyDescent="0.3">
      <c r="AC159">
        <v>9500</v>
      </c>
    </row>
    <row r="160" spans="14:29" x14ac:dyDescent="0.3">
      <c r="AC160">
        <v>9600</v>
      </c>
    </row>
    <row r="161" spans="29:29" x14ac:dyDescent="0.3">
      <c r="AC161">
        <v>9700</v>
      </c>
    </row>
    <row r="162" spans="29:29" x14ac:dyDescent="0.3">
      <c r="AC162">
        <v>9800</v>
      </c>
    </row>
    <row r="163" spans="29:29" x14ac:dyDescent="0.3">
      <c r="AC163">
        <v>9900</v>
      </c>
    </row>
    <row r="164" spans="29:29" x14ac:dyDescent="0.3">
      <c r="AC164">
        <v>10000</v>
      </c>
    </row>
    <row r="165" spans="29:29" x14ac:dyDescent="0.3">
      <c r="AC165">
        <v>10100</v>
      </c>
    </row>
    <row r="166" spans="29:29" x14ac:dyDescent="0.3">
      <c r="AC166">
        <v>10200</v>
      </c>
    </row>
    <row r="167" spans="29:29" x14ac:dyDescent="0.3">
      <c r="AC167">
        <v>10300</v>
      </c>
    </row>
    <row r="168" spans="29:29" x14ac:dyDescent="0.3">
      <c r="AC168">
        <v>10400</v>
      </c>
    </row>
    <row r="169" spans="29:29" x14ac:dyDescent="0.3">
      <c r="AC169">
        <v>10500</v>
      </c>
    </row>
    <row r="170" spans="29:29" x14ac:dyDescent="0.3">
      <c r="AC170">
        <v>10600</v>
      </c>
    </row>
    <row r="171" spans="29:29" x14ac:dyDescent="0.3">
      <c r="AC171">
        <v>10700</v>
      </c>
    </row>
    <row r="172" spans="29:29" x14ac:dyDescent="0.3">
      <c r="AC172">
        <v>10800</v>
      </c>
    </row>
    <row r="173" spans="29:29" x14ac:dyDescent="0.3">
      <c r="AC173">
        <v>10900</v>
      </c>
    </row>
    <row r="174" spans="29:29" x14ac:dyDescent="0.3">
      <c r="AC174">
        <v>11000</v>
      </c>
    </row>
    <row r="175" spans="29:29" x14ac:dyDescent="0.3">
      <c r="AC175">
        <v>11100</v>
      </c>
    </row>
    <row r="176" spans="29:29" x14ac:dyDescent="0.3">
      <c r="AC176">
        <v>11200</v>
      </c>
    </row>
    <row r="177" spans="29:29" x14ac:dyDescent="0.3">
      <c r="AC177">
        <v>11300</v>
      </c>
    </row>
    <row r="178" spans="29:29" x14ac:dyDescent="0.3">
      <c r="AC178">
        <v>11400</v>
      </c>
    </row>
    <row r="179" spans="29:29" x14ac:dyDescent="0.3">
      <c r="AC179">
        <v>11500</v>
      </c>
    </row>
    <row r="180" spans="29:29" x14ac:dyDescent="0.3">
      <c r="AC180">
        <v>11600</v>
      </c>
    </row>
    <row r="181" spans="29:29" x14ac:dyDescent="0.3">
      <c r="AC181">
        <v>11700</v>
      </c>
    </row>
    <row r="182" spans="29:29" x14ac:dyDescent="0.3">
      <c r="AC182">
        <v>11800</v>
      </c>
    </row>
    <row r="183" spans="29:29" x14ac:dyDescent="0.3">
      <c r="AC183">
        <v>11900</v>
      </c>
    </row>
    <row r="184" spans="29:29" x14ac:dyDescent="0.3">
      <c r="AC184">
        <v>12000</v>
      </c>
    </row>
    <row r="185" spans="29:29" x14ac:dyDescent="0.3">
      <c r="AC185">
        <v>12100</v>
      </c>
    </row>
    <row r="186" spans="29:29" x14ac:dyDescent="0.3">
      <c r="AC186">
        <v>12200</v>
      </c>
    </row>
    <row r="187" spans="29:29" x14ac:dyDescent="0.3">
      <c r="AC187">
        <v>12300</v>
      </c>
    </row>
    <row r="188" spans="29:29" x14ac:dyDescent="0.3">
      <c r="AC188">
        <v>12400</v>
      </c>
    </row>
    <row r="189" spans="29:29" x14ac:dyDescent="0.3">
      <c r="AC189">
        <v>12500</v>
      </c>
    </row>
    <row r="190" spans="29:29" x14ac:dyDescent="0.3">
      <c r="AC190">
        <v>12600</v>
      </c>
    </row>
    <row r="191" spans="29:29" x14ac:dyDescent="0.3">
      <c r="AC191">
        <v>12700</v>
      </c>
    </row>
    <row r="192" spans="29:29" x14ac:dyDescent="0.3">
      <c r="AC192">
        <v>12800</v>
      </c>
    </row>
    <row r="193" spans="29:29" x14ac:dyDescent="0.3">
      <c r="AC193">
        <v>12900</v>
      </c>
    </row>
    <row r="194" spans="29:29" x14ac:dyDescent="0.3">
      <c r="AC194">
        <v>13000</v>
      </c>
    </row>
    <row r="195" spans="29:29" x14ac:dyDescent="0.3">
      <c r="AC195">
        <v>13100</v>
      </c>
    </row>
    <row r="196" spans="29:29" x14ac:dyDescent="0.3">
      <c r="AC196">
        <v>13200</v>
      </c>
    </row>
    <row r="197" spans="29:29" x14ac:dyDescent="0.3">
      <c r="AC197">
        <v>13300</v>
      </c>
    </row>
    <row r="198" spans="29:29" x14ac:dyDescent="0.3">
      <c r="AC198">
        <v>13400</v>
      </c>
    </row>
    <row r="199" spans="29:29" x14ac:dyDescent="0.3">
      <c r="AC199">
        <v>13500</v>
      </c>
    </row>
    <row r="200" spans="29:29" x14ac:dyDescent="0.3">
      <c r="AC200">
        <v>13600</v>
      </c>
    </row>
    <row r="201" spans="29:29" x14ac:dyDescent="0.3">
      <c r="AC201">
        <v>13700</v>
      </c>
    </row>
    <row r="202" spans="29:29" x14ac:dyDescent="0.3">
      <c r="AC202">
        <v>13800</v>
      </c>
    </row>
    <row r="203" spans="29:29" x14ac:dyDescent="0.3">
      <c r="AC203">
        <v>13900</v>
      </c>
    </row>
    <row r="204" spans="29:29" x14ac:dyDescent="0.3">
      <c r="AC204">
        <v>14000</v>
      </c>
    </row>
    <row r="205" spans="29:29" x14ac:dyDescent="0.3">
      <c r="AC205">
        <v>14100</v>
      </c>
    </row>
    <row r="206" spans="29:29" x14ac:dyDescent="0.3">
      <c r="AC206">
        <v>14200</v>
      </c>
    </row>
    <row r="207" spans="29:29" x14ac:dyDescent="0.3">
      <c r="AC207">
        <v>14300</v>
      </c>
    </row>
    <row r="208" spans="29:29" x14ac:dyDescent="0.3">
      <c r="AC208">
        <v>14400</v>
      </c>
    </row>
    <row r="209" spans="29:29" x14ac:dyDescent="0.3">
      <c r="AC209">
        <v>14500</v>
      </c>
    </row>
    <row r="210" spans="29:29" x14ac:dyDescent="0.3">
      <c r="AC210">
        <v>14600</v>
      </c>
    </row>
    <row r="211" spans="29:29" x14ac:dyDescent="0.3">
      <c r="AC211">
        <v>14700</v>
      </c>
    </row>
    <row r="212" spans="29:29" x14ac:dyDescent="0.3">
      <c r="AC212">
        <v>14800</v>
      </c>
    </row>
    <row r="213" spans="29:29" x14ac:dyDescent="0.3">
      <c r="AC213">
        <v>14900</v>
      </c>
    </row>
    <row r="214" spans="29:29" x14ac:dyDescent="0.3">
      <c r="AC214">
        <v>15000</v>
      </c>
    </row>
    <row r="227" spans="1:5" x14ac:dyDescent="0.3">
      <c r="A227" s="316"/>
      <c r="B227" s="316"/>
      <c r="C227" s="316"/>
      <c r="D227" s="316"/>
      <c r="E227" s="316"/>
    </row>
    <row r="231" spans="1:5" x14ac:dyDescent="0.3">
      <c r="A231" s="314"/>
      <c r="B231" s="314"/>
      <c r="C231" s="314"/>
      <c r="D231" s="314"/>
      <c r="E231" s="314"/>
    </row>
    <row r="235" spans="1:5" x14ac:dyDescent="0.3">
      <c r="A235" s="316"/>
      <c r="B235" s="316"/>
      <c r="C235" s="316"/>
      <c r="D235" s="316"/>
      <c r="E235" s="316"/>
    </row>
    <row r="242" spans="1:5" x14ac:dyDescent="0.3">
      <c r="A242" s="316"/>
      <c r="B242" s="316"/>
      <c r="C242" s="316"/>
      <c r="D242" s="316"/>
      <c r="E242" s="316"/>
    </row>
    <row r="246" spans="1:5" x14ac:dyDescent="0.3">
      <c r="A246" s="314"/>
      <c r="B246" s="314"/>
      <c r="C246" s="314"/>
      <c r="D246" s="314"/>
      <c r="E246" s="314"/>
    </row>
    <row r="250" spans="1:5" x14ac:dyDescent="0.3">
      <c r="A250" s="316"/>
      <c r="B250" s="316"/>
      <c r="C250" s="316"/>
      <c r="D250" s="316"/>
      <c r="E250" s="316"/>
    </row>
    <row r="257" spans="1:5" x14ac:dyDescent="0.3">
      <c r="A257" s="316"/>
      <c r="B257" s="316"/>
      <c r="C257" s="316"/>
      <c r="D257" s="316"/>
      <c r="E257" s="316"/>
    </row>
    <row r="261" spans="1:5" x14ac:dyDescent="0.3">
      <c r="A261" s="314"/>
      <c r="B261" s="314"/>
      <c r="C261" s="314"/>
      <c r="D261" s="314"/>
      <c r="E261" s="314"/>
    </row>
    <row r="265" spans="1:5" x14ac:dyDescent="0.3">
      <c r="A265" s="316"/>
      <c r="B265" s="316"/>
      <c r="C265" s="316"/>
      <c r="D265" s="316"/>
      <c r="E265" s="316"/>
    </row>
    <row r="273" spans="1:5" x14ac:dyDescent="0.3">
      <c r="A273" s="316"/>
      <c r="B273" s="316"/>
      <c r="C273" s="316"/>
      <c r="D273" s="316"/>
      <c r="E273" s="316"/>
    </row>
    <row r="278" spans="1:5" x14ac:dyDescent="0.3">
      <c r="A278" s="315"/>
      <c r="B278" s="315"/>
      <c r="C278" s="315"/>
      <c r="D278" s="315"/>
      <c r="E278" s="315"/>
    </row>
    <row r="284" spans="1:5" x14ac:dyDescent="0.3">
      <c r="A284" s="317"/>
      <c r="B284" s="317"/>
      <c r="C284" s="317"/>
      <c r="D284" s="317"/>
      <c r="E284" s="317"/>
    </row>
    <row r="323" spans="1:5" x14ac:dyDescent="0.3">
      <c r="A323" s="316"/>
      <c r="B323" s="316"/>
      <c r="C323" s="316"/>
      <c r="D323" s="316"/>
      <c r="E323" s="316"/>
    </row>
    <row r="327" spans="1:5" x14ac:dyDescent="0.3">
      <c r="A327" s="314"/>
      <c r="B327" s="314"/>
      <c r="C327" s="314"/>
      <c r="D327" s="314"/>
      <c r="E327" s="314"/>
    </row>
    <row r="331" spans="1:5" x14ac:dyDescent="0.3">
      <c r="A331" s="316"/>
      <c r="B331" s="316"/>
      <c r="C331" s="316"/>
      <c r="D331" s="316"/>
      <c r="E331" s="316"/>
    </row>
  </sheetData>
  <mergeCells count="39">
    <mergeCell ref="ER4:ER5"/>
    <mergeCell ref="CL4:CO4"/>
    <mergeCell ref="CU4:CY4"/>
    <mergeCell ref="BY4:CA4"/>
    <mergeCell ref="CB4:CD4"/>
    <mergeCell ref="CE4:CG4"/>
    <mergeCell ref="CH4:CJ4"/>
    <mergeCell ref="BP4:BP5"/>
    <mergeCell ref="BR2:BU3"/>
    <mergeCell ref="BR4:BR5"/>
    <mergeCell ref="BS4:BS5"/>
    <mergeCell ref="BT4:BT5"/>
    <mergeCell ref="BU4:BU5"/>
    <mergeCell ref="BH2:BK3"/>
    <mergeCell ref="BM2:BP3"/>
    <mergeCell ref="BM4:BM5"/>
    <mergeCell ref="AW4:AW5"/>
    <mergeCell ref="AX4:AX5"/>
    <mergeCell ref="AY4:AY5"/>
    <mergeCell ref="BC4:BC5"/>
    <mergeCell ref="BD4:BD5"/>
    <mergeCell ref="BE4:BE5"/>
    <mergeCell ref="BF4:BF5"/>
    <mergeCell ref="BH4:BH5"/>
    <mergeCell ref="BI4:BI5"/>
    <mergeCell ref="BJ4:BJ5"/>
    <mergeCell ref="BK4:BK5"/>
    <mergeCell ref="BN4:BN5"/>
    <mergeCell ref="BO4:BO5"/>
    <mergeCell ref="AU4:AU5"/>
    <mergeCell ref="AV4:AV5"/>
    <mergeCell ref="AO2:AR3"/>
    <mergeCell ref="AU2:AY3"/>
    <mergeCell ref="BC2:BF3"/>
    <mergeCell ref="O22:P22"/>
    <mergeCell ref="Q22:R22"/>
    <mergeCell ref="AO4:AO5"/>
    <mergeCell ref="AP4:AQ4"/>
    <mergeCell ref="AR4:AR5"/>
  </mergeCells>
  <phoneticPr fontId="37" type="noConversion"/>
  <hyperlinks>
    <hyperlink ref="CW5" r:id="rId1" location=":~:text=El%20coeficiente%20de%20carbono%20promedio,por%20ciento%20(IPCC%202006)." xr:uid="{1E886E5C-F1FF-42D4-9AD7-281BA4D02BFC}"/>
  </hyperlinks>
  <pageMargins left="0.7" right="0.7" top="0.75" bottom="0.75" header="0.3" footer="0.3"/>
  <drawing r:id="rId2"/>
  <tableParts count="1">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B3A79-F783-4F91-A22F-0FCD5923F12A}">
  <dimension ref="A1:I32"/>
  <sheetViews>
    <sheetView topLeftCell="A7" zoomScale="90" zoomScaleNormal="90" workbookViewId="0">
      <selection activeCell="C6" sqref="C6"/>
    </sheetView>
  </sheetViews>
  <sheetFormatPr baseColWidth="10" defaultColWidth="11" defaultRowHeight="14" x14ac:dyDescent="0.3"/>
  <cols>
    <col min="2" max="2" width="16.08203125" customWidth="1"/>
    <col min="6" max="6" width="14.83203125" customWidth="1"/>
    <col min="14" max="14" width="12.1640625" customWidth="1"/>
    <col min="15" max="15" width="12.08203125" customWidth="1"/>
  </cols>
  <sheetData>
    <row r="1" spans="1:8" ht="14.15" customHeight="1" x14ac:dyDescent="0.3">
      <c r="A1" s="531" t="s">
        <v>279</v>
      </c>
      <c r="B1" s="532"/>
      <c r="C1" s="532"/>
      <c r="D1" s="532"/>
      <c r="E1" s="532"/>
      <c r="F1" s="532"/>
      <c r="G1" s="532"/>
      <c r="H1" s="533"/>
    </row>
    <row r="2" spans="1:8" ht="14.15" customHeight="1" x14ac:dyDescent="0.3">
      <c r="A2" s="534"/>
      <c r="B2" s="535"/>
      <c r="C2" s="535"/>
      <c r="D2" s="535"/>
      <c r="E2" s="535"/>
      <c r="F2" s="535"/>
      <c r="G2" s="535"/>
      <c r="H2" s="536"/>
    </row>
    <row r="3" spans="1:8" x14ac:dyDescent="0.3">
      <c r="A3" s="548" t="s">
        <v>58</v>
      </c>
      <c r="B3" s="548" t="s">
        <v>82</v>
      </c>
      <c r="C3" s="548"/>
      <c r="D3" s="548" t="s">
        <v>72</v>
      </c>
      <c r="E3" s="548"/>
      <c r="F3" s="548"/>
      <c r="G3" s="548" t="s">
        <v>280</v>
      </c>
      <c r="H3" s="548" t="s">
        <v>281</v>
      </c>
    </row>
    <row r="4" spans="1:8" ht="30.65" customHeight="1" x14ac:dyDescent="0.3">
      <c r="A4" s="548"/>
      <c r="B4" s="125" t="s">
        <v>282</v>
      </c>
      <c r="C4" s="125" t="s">
        <v>283</v>
      </c>
      <c r="D4" s="125" t="s">
        <v>282</v>
      </c>
      <c r="E4" s="125" t="s">
        <v>283</v>
      </c>
      <c r="F4" s="125" t="s">
        <v>116</v>
      </c>
      <c r="G4" s="548"/>
      <c r="H4" s="548"/>
    </row>
    <row r="5" spans="1:8" ht="16" customHeight="1" x14ac:dyDescent="0.3">
      <c r="A5" s="2" t="s">
        <v>284</v>
      </c>
      <c r="B5" s="1" t="str">
        <f>IF('2.HistóricoConsumoEnergético'!B20="","-",'2.HistóricoConsumoEnergético'!B20)</f>
        <v>-</v>
      </c>
      <c r="C5" s="1" t="str">
        <f>IF('2.HistóricoConsumoEnergético'!C20="","-",'2.HistóricoConsumoEnergético'!C20)</f>
        <v>-</v>
      </c>
      <c r="D5" s="1">
        <f>'2.HistóricoConsumoEnergético'!D20</f>
        <v>0</v>
      </c>
      <c r="E5" s="1">
        <f>'2.HistóricoConsumoEnergético'!E20</f>
        <v>0</v>
      </c>
      <c r="F5" s="1">
        <f t="shared" ref="F5:F10" si="0">D5+E5</f>
        <v>0</v>
      </c>
      <c r="G5" s="1">
        <f>'2.HistóricoConsumoEnergético'!F20</f>
        <v>0</v>
      </c>
      <c r="H5" s="1">
        <f>(F5*0.3)+G5</f>
        <v>0</v>
      </c>
    </row>
    <row r="6" spans="1:8" ht="16" customHeight="1" x14ac:dyDescent="0.3">
      <c r="A6" s="2" t="s">
        <v>285</v>
      </c>
      <c r="B6" s="1" t="str">
        <f>IF('2.HistóricoConsumoEnergético'!B21="","-",'2.HistóricoConsumoEnergético'!B21)</f>
        <v>-</v>
      </c>
      <c r="C6" s="1" t="str">
        <f>IF('2.HistóricoConsumoEnergético'!C21="","-",'2.HistóricoConsumoEnergético'!C21)</f>
        <v>-</v>
      </c>
      <c r="D6" s="1">
        <f>'2.HistóricoConsumoEnergético'!D21</f>
        <v>0</v>
      </c>
      <c r="E6" s="1">
        <f>'2.HistóricoConsumoEnergético'!E21</f>
        <v>0</v>
      </c>
      <c r="F6" s="1">
        <f t="shared" si="0"/>
        <v>0</v>
      </c>
      <c r="G6" s="1">
        <f>'2.HistóricoConsumoEnergético'!F21</f>
        <v>0</v>
      </c>
      <c r="H6" s="1">
        <f t="shared" ref="H6:H16" si="1">(F6*0.3)+G6</f>
        <v>0</v>
      </c>
    </row>
    <row r="7" spans="1:8" ht="16" customHeight="1" x14ac:dyDescent="0.3">
      <c r="A7" s="2" t="s">
        <v>286</v>
      </c>
      <c r="B7" s="1" t="str">
        <f>IF('2.HistóricoConsumoEnergético'!B22="","-",'2.HistóricoConsumoEnergético'!B22)</f>
        <v>-</v>
      </c>
      <c r="C7" s="1" t="str">
        <f>IF('2.HistóricoConsumoEnergético'!C22="","-",'2.HistóricoConsumoEnergético'!C22)</f>
        <v>-</v>
      </c>
      <c r="D7" s="1">
        <f>'2.HistóricoConsumoEnergético'!D22</f>
        <v>0</v>
      </c>
      <c r="E7" s="1">
        <f>'2.HistóricoConsumoEnergético'!E22</f>
        <v>0</v>
      </c>
      <c r="F7" s="1">
        <f t="shared" si="0"/>
        <v>0</v>
      </c>
      <c r="G7" s="1">
        <f>'2.HistóricoConsumoEnergético'!F22</f>
        <v>0</v>
      </c>
      <c r="H7" s="1">
        <f t="shared" si="1"/>
        <v>0</v>
      </c>
    </row>
    <row r="8" spans="1:8" ht="16" customHeight="1" x14ac:dyDescent="0.3">
      <c r="A8" s="2" t="s">
        <v>287</v>
      </c>
      <c r="B8" s="1" t="str">
        <f>IF('2.HistóricoConsumoEnergético'!B23="","-",'2.HistóricoConsumoEnergético'!B23)</f>
        <v>-</v>
      </c>
      <c r="C8" s="1" t="str">
        <f>IF('2.HistóricoConsumoEnergético'!C23="","-",'2.HistóricoConsumoEnergético'!C23)</f>
        <v>-</v>
      </c>
      <c r="D8" s="1">
        <f>'2.HistóricoConsumoEnergético'!D23</f>
        <v>0</v>
      </c>
      <c r="E8" s="1">
        <f>'2.HistóricoConsumoEnergético'!E23</f>
        <v>0</v>
      </c>
      <c r="F8" s="1">
        <f t="shared" si="0"/>
        <v>0</v>
      </c>
      <c r="G8" s="1">
        <f>'2.HistóricoConsumoEnergético'!F23</f>
        <v>0</v>
      </c>
      <c r="H8" s="1">
        <f t="shared" si="1"/>
        <v>0</v>
      </c>
    </row>
    <row r="9" spans="1:8" ht="16" customHeight="1" x14ac:dyDescent="0.3">
      <c r="A9" s="2" t="s">
        <v>288</v>
      </c>
      <c r="B9" s="1" t="str">
        <f>IF('2.HistóricoConsumoEnergético'!B24="","-",'2.HistóricoConsumoEnergético'!B24)</f>
        <v>-</v>
      </c>
      <c r="C9" s="1" t="str">
        <f>IF('2.HistóricoConsumoEnergético'!C24="","-",'2.HistóricoConsumoEnergético'!C24)</f>
        <v>-</v>
      </c>
      <c r="D9" s="1">
        <f>'2.HistóricoConsumoEnergético'!D24</f>
        <v>0</v>
      </c>
      <c r="E9" s="1">
        <f>'2.HistóricoConsumoEnergético'!E24</f>
        <v>0</v>
      </c>
      <c r="F9" s="1">
        <f t="shared" si="0"/>
        <v>0</v>
      </c>
      <c r="G9" s="1">
        <f>'2.HistóricoConsumoEnergético'!F24</f>
        <v>0</v>
      </c>
      <c r="H9" s="1">
        <f t="shared" si="1"/>
        <v>0</v>
      </c>
    </row>
    <row r="10" spans="1:8" ht="16" customHeight="1" x14ac:dyDescent="0.3">
      <c r="A10" s="2" t="s">
        <v>289</v>
      </c>
      <c r="B10" s="1" t="str">
        <f>IF('2.HistóricoConsumoEnergético'!B25="","-",'2.HistóricoConsumoEnergético'!B25)</f>
        <v>-</v>
      </c>
      <c r="C10" s="1" t="str">
        <f>IF('2.HistóricoConsumoEnergético'!C25="","-",'2.HistóricoConsumoEnergético'!C25)</f>
        <v>-</v>
      </c>
      <c r="D10" s="1">
        <f>'2.HistóricoConsumoEnergético'!D25</f>
        <v>0</v>
      </c>
      <c r="E10" s="1">
        <f>'2.HistóricoConsumoEnergético'!E25</f>
        <v>0</v>
      </c>
      <c r="F10" s="1">
        <f t="shared" si="0"/>
        <v>0</v>
      </c>
      <c r="G10" s="1">
        <f>'2.HistóricoConsumoEnergético'!F25</f>
        <v>0</v>
      </c>
      <c r="H10" s="1">
        <f t="shared" si="1"/>
        <v>0</v>
      </c>
    </row>
    <row r="11" spans="1:8" ht="16" customHeight="1" x14ac:dyDescent="0.3">
      <c r="A11" s="2" t="s">
        <v>290</v>
      </c>
      <c r="B11" s="1" t="str">
        <f>IF('2.HistóricoConsumoEnergético'!B26="","-",'2.HistóricoConsumoEnergético'!B26)</f>
        <v>-</v>
      </c>
      <c r="C11" s="1" t="str">
        <f>IF('2.HistóricoConsumoEnergético'!C26="","-",'2.HistóricoConsumoEnergético'!C26)</f>
        <v>-</v>
      </c>
      <c r="D11" s="1">
        <f>'2.HistóricoConsumoEnergético'!D26</f>
        <v>0</v>
      </c>
      <c r="E11" s="1">
        <f>'2.HistóricoConsumoEnergético'!E26</f>
        <v>0</v>
      </c>
      <c r="F11" s="1">
        <f t="shared" ref="F11:F16" si="2">D11+E11</f>
        <v>0</v>
      </c>
      <c r="G11" s="1">
        <f>'2.HistóricoConsumoEnergético'!F26</f>
        <v>0</v>
      </c>
      <c r="H11" s="1">
        <f t="shared" si="1"/>
        <v>0</v>
      </c>
    </row>
    <row r="12" spans="1:8" ht="16" customHeight="1" x14ac:dyDescent="0.3">
      <c r="A12" s="2" t="s">
        <v>291</v>
      </c>
      <c r="B12" s="1" t="str">
        <f>IF('2.HistóricoConsumoEnergético'!B27="","-",'2.HistóricoConsumoEnergético'!B27)</f>
        <v>-</v>
      </c>
      <c r="C12" s="1" t="str">
        <f>IF('2.HistóricoConsumoEnergético'!C27="","-",'2.HistóricoConsumoEnergético'!C27)</f>
        <v>-</v>
      </c>
      <c r="D12" s="1">
        <f>'2.HistóricoConsumoEnergético'!D27</f>
        <v>0</v>
      </c>
      <c r="E12" s="1">
        <f>'2.HistóricoConsumoEnergético'!E27</f>
        <v>0</v>
      </c>
      <c r="F12" s="1">
        <f t="shared" si="2"/>
        <v>0</v>
      </c>
      <c r="G12" s="1">
        <f>'2.HistóricoConsumoEnergético'!F27</f>
        <v>0</v>
      </c>
      <c r="H12" s="1">
        <f t="shared" si="1"/>
        <v>0</v>
      </c>
    </row>
    <row r="13" spans="1:8" ht="16" customHeight="1" x14ac:dyDescent="0.3">
      <c r="A13" s="2" t="s">
        <v>292</v>
      </c>
      <c r="B13" s="1" t="str">
        <f>IF('2.HistóricoConsumoEnergético'!B28="","-",'2.HistóricoConsumoEnergético'!B28)</f>
        <v>-</v>
      </c>
      <c r="C13" s="1" t="str">
        <f>IF('2.HistóricoConsumoEnergético'!C28="","-",'2.HistóricoConsumoEnergético'!C28)</f>
        <v>-</v>
      </c>
      <c r="D13" s="1">
        <f>'2.HistóricoConsumoEnergético'!D28</f>
        <v>0</v>
      </c>
      <c r="E13" s="1">
        <f>'2.HistóricoConsumoEnergético'!E28</f>
        <v>0</v>
      </c>
      <c r="F13" s="1">
        <f t="shared" si="2"/>
        <v>0</v>
      </c>
      <c r="G13" s="1">
        <f>'2.HistóricoConsumoEnergético'!F28</f>
        <v>0</v>
      </c>
      <c r="H13" s="1">
        <f t="shared" si="1"/>
        <v>0</v>
      </c>
    </row>
    <row r="14" spans="1:8" ht="16" customHeight="1" x14ac:dyDescent="0.3">
      <c r="A14" s="2" t="s">
        <v>293</v>
      </c>
      <c r="B14" s="1" t="str">
        <f>IF('2.HistóricoConsumoEnergético'!B29="","-",'2.HistóricoConsumoEnergético'!B29)</f>
        <v>-</v>
      </c>
      <c r="C14" s="1" t="str">
        <f>IF('2.HistóricoConsumoEnergético'!C29="","-",'2.HistóricoConsumoEnergético'!C29)</f>
        <v>-</v>
      </c>
      <c r="D14" s="1">
        <f>'2.HistóricoConsumoEnergético'!D29</f>
        <v>0</v>
      </c>
      <c r="E14" s="1">
        <f>'2.HistóricoConsumoEnergético'!E29</f>
        <v>0</v>
      </c>
      <c r="F14" s="1">
        <f t="shared" si="2"/>
        <v>0</v>
      </c>
      <c r="G14" s="1">
        <f>'2.HistóricoConsumoEnergético'!F29</f>
        <v>0</v>
      </c>
      <c r="H14" s="1">
        <f t="shared" si="1"/>
        <v>0</v>
      </c>
    </row>
    <row r="15" spans="1:8" ht="16" customHeight="1" x14ac:dyDescent="0.3">
      <c r="A15" s="2" t="s">
        <v>294</v>
      </c>
      <c r="B15" s="1" t="str">
        <f>IF('2.HistóricoConsumoEnergético'!B30="","-",'2.HistóricoConsumoEnergético'!B30)</f>
        <v>-</v>
      </c>
      <c r="C15" s="1" t="str">
        <f>IF('2.HistóricoConsumoEnergético'!C30="","-",'2.HistóricoConsumoEnergético'!C30)</f>
        <v>-</v>
      </c>
      <c r="D15" s="1">
        <f>'2.HistóricoConsumoEnergético'!D30</f>
        <v>0</v>
      </c>
      <c r="E15" s="1">
        <f>'2.HistóricoConsumoEnergético'!E30</f>
        <v>0</v>
      </c>
      <c r="F15" s="1">
        <f t="shared" si="2"/>
        <v>0</v>
      </c>
      <c r="G15" s="1">
        <f>'2.HistóricoConsumoEnergético'!F30</f>
        <v>0</v>
      </c>
      <c r="H15" s="1">
        <f t="shared" si="1"/>
        <v>0</v>
      </c>
    </row>
    <row r="16" spans="1:8" ht="16" customHeight="1" x14ac:dyDescent="0.3">
      <c r="A16" s="2" t="s">
        <v>295</v>
      </c>
      <c r="B16" s="1" t="str">
        <f>IF('2.HistóricoConsumoEnergético'!B31="","-",'2.HistóricoConsumoEnergético'!B31)</f>
        <v>-</v>
      </c>
      <c r="C16" s="1" t="str">
        <f>IF('2.HistóricoConsumoEnergético'!C31="","-",'2.HistóricoConsumoEnergético'!C31)</f>
        <v>-</v>
      </c>
      <c r="D16" s="1">
        <f>'2.HistóricoConsumoEnergético'!D31</f>
        <v>0</v>
      </c>
      <c r="E16" s="1">
        <f>'2.HistóricoConsumoEnergético'!E31</f>
        <v>0</v>
      </c>
      <c r="F16" s="1">
        <f t="shared" si="2"/>
        <v>0</v>
      </c>
      <c r="G16" s="1">
        <f>'2.HistóricoConsumoEnergético'!F31</f>
        <v>0</v>
      </c>
      <c r="H16" s="1">
        <f t="shared" si="1"/>
        <v>0</v>
      </c>
    </row>
    <row r="17" spans="1:9" x14ac:dyDescent="0.3">
      <c r="B17">
        <f>SUM(B5:B16)</f>
        <v>0</v>
      </c>
      <c r="C17">
        <f>SUM(C5:C16)</f>
        <v>0</v>
      </c>
      <c r="D17">
        <f>SUM(B17:C17)</f>
        <v>0</v>
      </c>
    </row>
    <row r="18" spans="1:9" ht="14.5" x14ac:dyDescent="0.3">
      <c r="A18" s="2" t="s">
        <v>296</v>
      </c>
      <c r="B18" s="42" t="s">
        <v>297</v>
      </c>
      <c r="C18" s="42" t="s">
        <v>157</v>
      </c>
      <c r="F18" s="546" t="s">
        <v>298</v>
      </c>
      <c r="G18" s="546"/>
      <c r="H18" s="547"/>
      <c r="I18" s="1">
        <v>30</v>
      </c>
    </row>
    <row r="19" spans="1:9" ht="14.5" x14ac:dyDescent="0.3">
      <c r="A19" s="2" t="s">
        <v>119</v>
      </c>
      <c r="B19" s="12" t="str">
        <f>IF(ISERROR('Tarifa MTBT'!P13),"-",'Tarifa MTBT'!P13)</f>
        <v>-</v>
      </c>
      <c r="C19" s="13" t="str">
        <f>IF(ISERROR('Tarifa MTBT'!P4),"-",'Tarifa MTBT'!P4)</f>
        <v>-</v>
      </c>
      <c r="F19" s="546" t="s">
        <v>299</v>
      </c>
      <c r="G19" s="546"/>
      <c r="H19" s="547"/>
      <c r="I19" s="1">
        <v>4</v>
      </c>
    </row>
    <row r="20" spans="1:9" ht="14.5" x14ac:dyDescent="0.3">
      <c r="A20" s="2" t="s">
        <v>129</v>
      </c>
      <c r="B20" s="12" t="str">
        <f>IF(ISERROR('Tarifa MTBT'!P14),"-",'Tarifa MTBT'!P14)</f>
        <v>-</v>
      </c>
      <c r="C20" s="13" t="str">
        <f>IF(ISERROR('Tarifa MTBT'!P5),"-",'Tarifa MTBT'!P5)</f>
        <v>-</v>
      </c>
      <c r="F20" s="546" t="s">
        <v>300</v>
      </c>
      <c r="G20" s="546"/>
      <c r="H20" s="547"/>
      <c r="I20" s="1">
        <f>'2.HistóricoConsumoEnergético'!D33</f>
        <v>2</v>
      </c>
    </row>
    <row r="21" spans="1:9" ht="14.5" x14ac:dyDescent="0.3">
      <c r="A21" s="2" t="s">
        <v>138</v>
      </c>
      <c r="B21" s="12" t="str">
        <f>IF(ISERROR('Tarifa MTBT'!P15),"-",'Tarifa MTBT'!P15)</f>
        <v>-</v>
      </c>
      <c r="C21" s="13" t="str">
        <f>IF(ISERROR('Tarifa MTBT'!P6),"-",'Tarifa MTBT'!P6)</f>
        <v>-</v>
      </c>
    </row>
    <row r="22" spans="1:9" ht="14.5" x14ac:dyDescent="0.3">
      <c r="A22" s="2" t="s">
        <v>120</v>
      </c>
      <c r="B22" s="12" t="str">
        <f>IF(ISERROR('Tarifa MTBT'!M13),"-",'Tarifa MTBT'!M13)</f>
        <v>-</v>
      </c>
      <c r="C22" s="13" t="str">
        <f>IF(ISERROR('Tarifa MTBT'!M4),"-",'Tarifa MTBT'!M4)</f>
        <v>-</v>
      </c>
      <c r="F22" s="11"/>
    </row>
    <row r="23" spans="1:9" ht="14.5" x14ac:dyDescent="0.3">
      <c r="A23" s="2" t="s">
        <v>181</v>
      </c>
      <c r="B23" s="12" t="str">
        <f>IF(ISERROR('Tarifa MTBT'!M14),"-",'Tarifa MTBT'!M14)</f>
        <v>-</v>
      </c>
      <c r="C23" s="13" t="str">
        <f>IF(ISERROR('Tarifa MTBT'!M5),"-",'Tarifa MTBT'!M5)</f>
        <v>-</v>
      </c>
    </row>
    <row r="24" spans="1:9" ht="15" thickBot="1" x14ac:dyDescent="0.35">
      <c r="A24" s="22" t="s">
        <v>185</v>
      </c>
      <c r="B24" s="23" t="str">
        <f>IF(ISERROR('Tarifa MTBT'!M15),"-",'Tarifa MTBT'!M15)</f>
        <v>-</v>
      </c>
      <c r="C24" s="24" t="str">
        <f>IF(ISERROR('Tarifa MTBT'!M6),"-",'Tarifa MTBT'!M6)</f>
        <v>-</v>
      </c>
      <c r="D24" s="6"/>
      <c r="E24" s="6"/>
      <c r="F24" s="43" t="s">
        <v>297</v>
      </c>
      <c r="G24" s="43" t="s">
        <v>157</v>
      </c>
    </row>
    <row r="25" spans="1:9" ht="15" customHeight="1" thickBot="1" x14ac:dyDescent="0.35">
      <c r="A25" s="27" t="s">
        <v>188</v>
      </c>
      <c r="B25" s="28" t="str">
        <f>IF(ISERROR('Tarifa MTBT'!AC34),"-",'Tarifa MTBT'!AC34)</f>
        <v>-</v>
      </c>
      <c r="C25" s="44" t="str">
        <f>IF(ISERROR('Tarifa MTBT'!AC39),"-",'Tarifa MTBT'!AC39)</f>
        <v>-</v>
      </c>
      <c r="D25" s="537" t="s">
        <v>301</v>
      </c>
      <c r="E25" s="29"/>
      <c r="F25" s="28">
        <f>'Tarifa MTBT'!AE34</f>
        <v>9.48</v>
      </c>
      <c r="G25" s="30" t="e">
        <f>'Tarifa MTBT'!AE39</f>
        <v>#DIV/0!</v>
      </c>
      <c r="H25" s="540" t="s">
        <v>302</v>
      </c>
      <c r="I25" s="541"/>
    </row>
    <row r="26" spans="1:9" ht="15" thickBot="1" x14ac:dyDescent="0.35">
      <c r="A26" s="33" t="s">
        <v>50</v>
      </c>
      <c r="B26" s="25">
        <f>IF(ISERROR('Tarifa MTBT'!T32),"-",'Tarifa MTBT'!T32)</f>
        <v>3.69</v>
      </c>
      <c r="C26" s="45" t="str">
        <f>IF(ISERROR('Tarifa MTBT'!T34),"-",'Tarifa MTBT'!T34)</f>
        <v>-</v>
      </c>
      <c r="D26" s="538"/>
      <c r="E26" s="26"/>
      <c r="F26" s="34">
        <f>'Tarifa MTBT'!U32</f>
        <v>3.69</v>
      </c>
      <c r="G26" s="35" t="e">
        <f>'Tarifa MTBT'!U34</f>
        <v>#DIV/0!</v>
      </c>
      <c r="H26" s="542"/>
      <c r="I26" s="543"/>
    </row>
    <row r="27" spans="1:9" ht="15" thickBot="1" x14ac:dyDescent="0.35">
      <c r="A27" s="27" t="s">
        <v>195</v>
      </c>
      <c r="B27" s="28">
        <f>IF(ISERROR('Tarifa MTBT'!X36),"-",'Tarifa MTBT'!X36)</f>
        <v>9.19</v>
      </c>
      <c r="C27" s="44" t="str">
        <f>IF(ISERROR('Tarifa MTBT'!X38),"-",'Tarifa MTBT'!X38)</f>
        <v>-</v>
      </c>
      <c r="D27" s="539"/>
      <c r="E27" s="29"/>
      <c r="F27" s="28">
        <f>'Tarifa MTBT'!Y36</f>
        <v>9.19</v>
      </c>
      <c r="G27" s="30" t="e">
        <f>'Tarifa MTBT'!Y38</f>
        <v>#DIV/0!</v>
      </c>
      <c r="H27" s="544"/>
      <c r="I27" s="545"/>
    </row>
    <row r="29" spans="1:9" x14ac:dyDescent="0.3">
      <c r="B29" s="17">
        <f>MIN(B19:B27)</f>
        <v>3.69</v>
      </c>
      <c r="C29" s="13">
        <f>MIN(C19:C27)</f>
        <v>0</v>
      </c>
    </row>
    <row r="31" spans="1:9" x14ac:dyDescent="0.3">
      <c r="B31" s="1" t="str">
        <f>IF(D17&gt;30,_xlfn.XLOOKUP(B29,B19:B27,A19:A27),B32)</f>
        <v>Hacer Medición</v>
      </c>
      <c r="C31" t="str">
        <f>IF(B31=B32,"-",C29)</f>
        <v>-</v>
      </c>
    </row>
    <row r="32" spans="1:9" x14ac:dyDescent="0.3">
      <c r="B32" s="117" t="s">
        <v>303</v>
      </c>
      <c r="C32" s="117" t="s">
        <v>303</v>
      </c>
    </row>
  </sheetData>
  <mergeCells count="11">
    <mergeCell ref="A1:H2"/>
    <mergeCell ref="D25:D27"/>
    <mergeCell ref="H25:I27"/>
    <mergeCell ref="F18:H18"/>
    <mergeCell ref="F19:H19"/>
    <mergeCell ref="F20:H20"/>
    <mergeCell ref="A3:A4"/>
    <mergeCell ref="B3:C3"/>
    <mergeCell ref="D3:F3"/>
    <mergeCell ref="G3:G4"/>
    <mergeCell ref="H3:H4"/>
  </mergeCells>
  <phoneticPr fontId="32" type="noConversion"/>
  <conditionalFormatting sqref="B19:B27">
    <cfRule type="expression" dxfId="1" priority="1">
      <formula>B19=MIN($B$19:$B$27)</formula>
    </cfRule>
  </conditionalFormatting>
  <pageMargins left="0.7" right="0.7" top="0.75" bottom="0.75" header="0.3" footer="0.3"/>
  <pageSetup paperSize="9" orientation="landscape" horizontalDpi="360" verticalDpi="360" r:id="rId1"/>
  <legacyDrawing r:id="rId2"/>
  <extLst>
    <ext xmlns:x14="http://schemas.microsoft.com/office/spreadsheetml/2009/9/main" uri="{78C0D931-6437-407d-A8EE-F0AAD7539E65}">
      <x14:conditionalFormattings>
        <x14:conditionalFormatting xmlns:xm="http://schemas.microsoft.com/office/excel/2006/main">
          <x14:cfRule type="cellIs" priority="2" operator="equal" id="{39087CA7-87E2-4C7C-B887-ED4233D75360}">
            <xm:f>'Tarifa MTBT'!$P$18</xm:f>
            <x14:dxf>
              <font>
                <b/>
                <i val="0"/>
                <strike val="0"/>
                <color theme="0"/>
              </font>
              <fill>
                <patternFill>
                  <fgColor theme="5"/>
                  <bgColor rgb="FFFF0000"/>
                </patternFill>
              </fill>
            </x14:dxf>
          </x14:cfRule>
          <xm:sqref>F25:F27</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170B5-D1E6-45E0-8DE5-808133169B94}">
  <dimension ref="A1:AG93"/>
  <sheetViews>
    <sheetView topLeftCell="B1" zoomScale="70" zoomScaleNormal="70" workbookViewId="0">
      <selection activeCell="B32" sqref="B32"/>
    </sheetView>
  </sheetViews>
  <sheetFormatPr baseColWidth="10" defaultColWidth="11" defaultRowHeight="14" x14ac:dyDescent="0.3"/>
  <cols>
    <col min="9" max="9" width="11.58203125" customWidth="1"/>
    <col min="10" max="10" width="19.83203125" customWidth="1"/>
    <col min="13" max="13" width="17.83203125" customWidth="1"/>
    <col min="14" max="14" width="12.33203125" customWidth="1"/>
    <col min="16" max="16" width="15.83203125" customWidth="1"/>
    <col min="17" max="17" width="13.08203125" customWidth="1"/>
    <col min="19" max="19" width="20.58203125" customWidth="1"/>
    <col min="24" max="24" width="12.58203125" bestFit="1" customWidth="1"/>
    <col min="28" max="28" width="26.58203125" bestFit="1" customWidth="1"/>
    <col min="29" max="29" width="12" bestFit="1" customWidth="1"/>
  </cols>
  <sheetData>
    <row r="1" spans="1:33" x14ac:dyDescent="0.3">
      <c r="A1" s="116"/>
    </row>
    <row r="2" spans="1:33" x14ac:dyDescent="0.3">
      <c r="P2" s="3"/>
    </row>
    <row r="3" spans="1:33" ht="14.15" customHeight="1" x14ac:dyDescent="0.3">
      <c r="A3" s="549" t="s">
        <v>279</v>
      </c>
      <c r="B3" s="549"/>
      <c r="C3" s="549"/>
      <c r="D3" s="549"/>
      <c r="E3" s="549"/>
      <c r="F3" s="549"/>
      <c r="G3" s="549"/>
      <c r="H3" s="549"/>
      <c r="I3" s="549"/>
      <c r="J3" s="6"/>
    </row>
    <row r="4" spans="1:33" ht="14.15" customHeight="1" x14ac:dyDescent="0.3">
      <c r="A4" s="549"/>
      <c r="B4" s="549"/>
      <c r="C4" s="549"/>
      <c r="D4" s="549"/>
      <c r="E4" s="549"/>
      <c r="F4" s="549"/>
      <c r="G4" s="549"/>
      <c r="H4" s="549"/>
      <c r="I4" s="549"/>
      <c r="J4" s="6"/>
      <c r="M4" s="11" t="e">
        <f>M13/($F$18)</f>
        <v>#NUM!</v>
      </c>
      <c r="P4" s="11" t="e">
        <f>P13/($F$18)</f>
        <v>#NUM!</v>
      </c>
      <c r="R4" s="11" t="e">
        <f>Q19/($F$18)</f>
        <v>#DIV/0!</v>
      </c>
    </row>
    <row r="5" spans="1:33" x14ac:dyDescent="0.3">
      <c r="A5" s="548" t="s">
        <v>58</v>
      </c>
      <c r="B5" s="548" t="s">
        <v>82</v>
      </c>
      <c r="C5" s="548"/>
      <c r="D5" s="548" t="s">
        <v>72</v>
      </c>
      <c r="E5" s="548"/>
      <c r="F5" s="548"/>
      <c r="G5" s="548" t="s">
        <v>280</v>
      </c>
      <c r="H5" s="548" t="s">
        <v>281</v>
      </c>
      <c r="I5" s="548" t="s">
        <v>304</v>
      </c>
      <c r="J5" s="6"/>
      <c r="M5" s="11" t="e">
        <f t="shared" ref="M5" si="0">M14/($F$18)</f>
        <v>#NUM!</v>
      </c>
      <c r="P5" s="11" t="e">
        <f t="shared" ref="P5:P6" si="1">P14/($F$18)</f>
        <v>#NUM!</v>
      </c>
      <c r="R5" s="11" t="e">
        <f t="shared" ref="R5:R6" si="2">Q20/($F$18)</f>
        <v>#DIV/0!</v>
      </c>
    </row>
    <row r="6" spans="1:33" ht="29.15" customHeight="1" x14ac:dyDescent="0.3">
      <c r="A6" s="548"/>
      <c r="B6" s="125" t="s">
        <v>282</v>
      </c>
      <c r="C6" s="125" t="s">
        <v>283</v>
      </c>
      <c r="D6" s="125" t="s">
        <v>282</v>
      </c>
      <c r="E6" s="125" t="s">
        <v>283</v>
      </c>
      <c r="F6" s="125" t="s">
        <v>116</v>
      </c>
      <c r="G6" s="548"/>
      <c r="H6" s="548"/>
      <c r="I6" s="548"/>
      <c r="J6" s="6"/>
      <c r="M6" s="11" t="e">
        <f>M15/($F$18)</f>
        <v>#NUM!</v>
      </c>
      <c r="P6" s="11" t="e">
        <f t="shared" si="1"/>
        <v>#NUM!</v>
      </c>
      <c r="R6" s="11" t="e">
        <f t="shared" si="2"/>
        <v>#DIV/0!</v>
      </c>
      <c r="T6" s="126" t="s">
        <v>58</v>
      </c>
      <c r="U6" s="548" t="s">
        <v>82</v>
      </c>
      <c r="V6" s="548"/>
      <c r="W6" s="548" t="s">
        <v>72</v>
      </c>
      <c r="X6" s="548"/>
      <c r="Y6" s="548"/>
      <c r="AB6" s="126" t="s">
        <v>58</v>
      </c>
      <c r="AC6" s="548" t="s">
        <v>82</v>
      </c>
      <c r="AD6" s="548"/>
      <c r="AE6" s="548" t="s">
        <v>72</v>
      </c>
      <c r="AF6" s="548"/>
      <c r="AG6" s="548"/>
    </row>
    <row r="7" spans="1:33" ht="16" customHeight="1" x14ac:dyDescent="0.3">
      <c r="A7" s="2" t="s">
        <v>284</v>
      </c>
      <c r="B7" s="1" t="str">
        <f>'Opocion Tarifaria '!B5</f>
        <v>-</v>
      </c>
      <c r="C7" s="1" t="str">
        <f>'Opocion Tarifaria '!C5</f>
        <v>-</v>
      </c>
      <c r="D7" s="1">
        <f>'Opocion Tarifaria '!D5</f>
        <v>0</v>
      </c>
      <c r="E7" s="1">
        <f>'Opocion Tarifaria '!E5</f>
        <v>0</v>
      </c>
      <c r="F7" s="1">
        <f>'Opocion Tarifaria '!F5</f>
        <v>0</v>
      </c>
      <c r="G7" s="1">
        <f>'Opocion Tarifaria '!G5</f>
        <v>0</v>
      </c>
      <c r="H7" s="1">
        <f>'Opocion Tarifaria '!H5</f>
        <v>0</v>
      </c>
      <c r="I7" s="5" t="e">
        <f t="shared" ref="I7:I12" si="3">H7/J7</f>
        <v>#DIV/0!</v>
      </c>
      <c r="J7" s="7">
        <f t="shared" ref="J7:J12" si="4">SQRT(((F7*F7)+(H7*H7)))</f>
        <v>0</v>
      </c>
      <c r="M7" s="11"/>
      <c r="P7" s="11"/>
      <c r="R7" s="11"/>
      <c r="T7" s="2" t="s">
        <v>284</v>
      </c>
      <c r="U7" s="168" t="s">
        <v>282</v>
      </c>
      <c r="V7" s="168" t="s">
        <v>283</v>
      </c>
      <c r="W7" s="125"/>
      <c r="X7" s="125"/>
      <c r="Y7" s="125"/>
      <c r="AB7" s="126"/>
      <c r="AC7" s="125"/>
      <c r="AD7" s="125"/>
      <c r="AE7" s="125"/>
      <c r="AF7" s="125"/>
      <c r="AG7" s="125"/>
    </row>
    <row r="8" spans="1:33" ht="16" customHeight="1" x14ac:dyDescent="0.3">
      <c r="A8" s="2" t="s">
        <v>285</v>
      </c>
      <c r="B8" s="1" t="str">
        <f>'Opocion Tarifaria '!B6</f>
        <v>-</v>
      </c>
      <c r="C8" s="1" t="str">
        <f>'Opocion Tarifaria '!C6</f>
        <v>-</v>
      </c>
      <c r="D8" s="1">
        <f>'Opocion Tarifaria '!D6</f>
        <v>0</v>
      </c>
      <c r="E8" s="1">
        <f>'Opocion Tarifaria '!E6</f>
        <v>0</v>
      </c>
      <c r="F8" s="1">
        <f>'Opocion Tarifaria '!F6</f>
        <v>0</v>
      </c>
      <c r="G8" s="1">
        <f>'Opocion Tarifaria '!G6</f>
        <v>0</v>
      </c>
      <c r="H8" s="1">
        <f>'Opocion Tarifaria '!H6</f>
        <v>0</v>
      </c>
      <c r="I8" s="5" t="e">
        <f t="shared" si="3"/>
        <v>#DIV/0!</v>
      </c>
      <c r="J8" s="7">
        <f t="shared" si="4"/>
        <v>0</v>
      </c>
      <c r="M8" s="11"/>
      <c r="P8" s="11"/>
      <c r="R8" s="11"/>
      <c r="T8" s="2" t="s">
        <v>284</v>
      </c>
      <c r="U8" s="1" t="str">
        <f t="shared" ref="U8:U17" si="5">B7</f>
        <v>-</v>
      </c>
      <c r="V8" s="1" t="str">
        <f t="shared" ref="V8:V17" si="6">C7</f>
        <v>-</v>
      </c>
      <c r="W8" s="1">
        <f t="shared" ref="W8:W17" si="7">D7</f>
        <v>0</v>
      </c>
      <c r="X8" s="1">
        <f t="shared" ref="X8:X17" si="8">E7</f>
        <v>0</v>
      </c>
      <c r="Y8" s="1">
        <f t="shared" ref="Y8:Y17" si="9">F7</f>
        <v>0</v>
      </c>
      <c r="AB8" s="2" t="s">
        <v>284</v>
      </c>
      <c r="AC8" s="1" t="str">
        <f t="shared" ref="AC8" si="10">U8</f>
        <v>-</v>
      </c>
      <c r="AD8" s="1" t="str">
        <f t="shared" ref="AD8" si="11">V8</f>
        <v>-</v>
      </c>
      <c r="AE8" s="1">
        <f t="shared" ref="AE8" si="12">W8</f>
        <v>0</v>
      </c>
      <c r="AF8" s="1">
        <f t="shared" ref="AF8" si="13">X8</f>
        <v>0</v>
      </c>
      <c r="AG8" s="1">
        <f t="shared" ref="AG8" si="14">Y8</f>
        <v>0</v>
      </c>
    </row>
    <row r="9" spans="1:33" ht="16" customHeight="1" x14ac:dyDescent="0.3">
      <c r="A9" s="2" t="s">
        <v>286</v>
      </c>
      <c r="B9" s="1" t="str">
        <f>'Opocion Tarifaria '!B7</f>
        <v>-</v>
      </c>
      <c r="C9" s="1" t="str">
        <f>'Opocion Tarifaria '!C7</f>
        <v>-</v>
      </c>
      <c r="D9" s="1">
        <f>'Opocion Tarifaria '!D7</f>
        <v>0</v>
      </c>
      <c r="E9" s="1">
        <f>'Opocion Tarifaria '!E7</f>
        <v>0</v>
      </c>
      <c r="F9" s="1">
        <f>'Opocion Tarifaria '!F7</f>
        <v>0</v>
      </c>
      <c r="G9" s="1">
        <f>'Opocion Tarifaria '!G7</f>
        <v>0</v>
      </c>
      <c r="H9" s="1">
        <f>'Opocion Tarifaria '!H7</f>
        <v>0</v>
      </c>
      <c r="I9" s="5" t="e">
        <f t="shared" si="3"/>
        <v>#DIV/0!</v>
      </c>
      <c r="J9" s="7">
        <f t="shared" si="4"/>
        <v>0</v>
      </c>
      <c r="M9" s="11"/>
      <c r="P9" s="11"/>
      <c r="R9" s="11"/>
      <c r="T9" s="2" t="s">
        <v>285</v>
      </c>
      <c r="U9" s="1" t="str">
        <f t="shared" si="5"/>
        <v>-</v>
      </c>
      <c r="V9" s="1" t="str">
        <f t="shared" si="6"/>
        <v>-</v>
      </c>
      <c r="W9" s="1">
        <f t="shared" si="7"/>
        <v>0</v>
      </c>
      <c r="X9" s="1">
        <f t="shared" si="8"/>
        <v>0</v>
      </c>
      <c r="Y9" s="1">
        <f t="shared" si="9"/>
        <v>0</v>
      </c>
      <c r="AB9" s="2" t="s">
        <v>285</v>
      </c>
      <c r="AC9" s="1" t="str">
        <f t="shared" ref="AC9:AC18" si="15">U9</f>
        <v>-</v>
      </c>
      <c r="AD9" s="1" t="str">
        <f t="shared" ref="AD9:AD18" si="16">V9</f>
        <v>-</v>
      </c>
      <c r="AE9" s="1">
        <f t="shared" ref="AE9:AE18" si="17">W9</f>
        <v>0</v>
      </c>
      <c r="AF9" s="1">
        <f t="shared" ref="AF9:AF18" si="18">X9</f>
        <v>0</v>
      </c>
      <c r="AG9" s="1">
        <f t="shared" ref="AG9:AG18" si="19">Y9</f>
        <v>0</v>
      </c>
    </row>
    <row r="10" spans="1:33" ht="16" customHeight="1" x14ac:dyDescent="0.3">
      <c r="A10" s="2" t="s">
        <v>287</v>
      </c>
      <c r="B10" s="1" t="str">
        <f>'Opocion Tarifaria '!B8</f>
        <v>-</v>
      </c>
      <c r="C10" s="1" t="str">
        <f>'Opocion Tarifaria '!C8</f>
        <v>-</v>
      </c>
      <c r="D10" s="1">
        <f>'Opocion Tarifaria '!D8</f>
        <v>0</v>
      </c>
      <c r="E10" s="1">
        <f>'Opocion Tarifaria '!E8</f>
        <v>0</v>
      </c>
      <c r="F10" s="1">
        <f>'Opocion Tarifaria '!F8</f>
        <v>0</v>
      </c>
      <c r="G10" s="1">
        <f>'Opocion Tarifaria '!G8</f>
        <v>0</v>
      </c>
      <c r="H10" s="1">
        <f>'Opocion Tarifaria '!H8</f>
        <v>0</v>
      </c>
      <c r="I10" s="5" t="e">
        <f t="shared" si="3"/>
        <v>#DIV/0!</v>
      </c>
      <c r="J10" s="7">
        <f t="shared" si="4"/>
        <v>0</v>
      </c>
      <c r="M10" s="11"/>
      <c r="P10" s="11"/>
      <c r="R10" s="11"/>
      <c r="T10" s="2" t="s">
        <v>286</v>
      </c>
      <c r="U10" s="1" t="str">
        <f t="shared" si="5"/>
        <v>-</v>
      </c>
      <c r="V10" s="1" t="str">
        <f t="shared" si="6"/>
        <v>-</v>
      </c>
      <c r="W10" s="1">
        <f t="shared" si="7"/>
        <v>0</v>
      </c>
      <c r="X10" s="1">
        <f t="shared" si="8"/>
        <v>0</v>
      </c>
      <c r="Y10" s="1">
        <f t="shared" si="9"/>
        <v>0</v>
      </c>
      <c r="AB10" s="2" t="s">
        <v>286</v>
      </c>
      <c r="AC10" s="1" t="str">
        <f t="shared" si="15"/>
        <v>-</v>
      </c>
      <c r="AD10" s="1" t="str">
        <f t="shared" si="16"/>
        <v>-</v>
      </c>
      <c r="AE10" s="1">
        <f t="shared" si="17"/>
        <v>0</v>
      </c>
      <c r="AF10" s="1">
        <f t="shared" si="18"/>
        <v>0</v>
      </c>
      <c r="AG10" s="1">
        <f t="shared" si="19"/>
        <v>0</v>
      </c>
    </row>
    <row r="11" spans="1:33" ht="16" customHeight="1" x14ac:dyDescent="0.3">
      <c r="A11" s="2" t="s">
        <v>288</v>
      </c>
      <c r="B11" s="1" t="str">
        <f>'Opocion Tarifaria '!B9</f>
        <v>-</v>
      </c>
      <c r="C11" s="1" t="str">
        <f>'Opocion Tarifaria '!C9</f>
        <v>-</v>
      </c>
      <c r="D11" s="1">
        <f>'Opocion Tarifaria '!D9</f>
        <v>0</v>
      </c>
      <c r="E11" s="1">
        <f>'Opocion Tarifaria '!E9</f>
        <v>0</v>
      </c>
      <c r="F11" s="1">
        <f>'Opocion Tarifaria '!F9</f>
        <v>0</v>
      </c>
      <c r="G11" s="1">
        <f>'Opocion Tarifaria '!G9</f>
        <v>0</v>
      </c>
      <c r="H11" s="1">
        <f>'Opocion Tarifaria '!H9</f>
        <v>0</v>
      </c>
      <c r="I11" s="5" t="e">
        <f t="shared" si="3"/>
        <v>#DIV/0!</v>
      </c>
      <c r="J11" s="7">
        <f t="shared" si="4"/>
        <v>0</v>
      </c>
      <c r="M11" s="11"/>
      <c r="P11" s="11"/>
      <c r="R11" s="11"/>
      <c r="T11" s="2" t="s">
        <v>287</v>
      </c>
      <c r="U11" s="1" t="str">
        <f t="shared" si="5"/>
        <v>-</v>
      </c>
      <c r="V11" s="1" t="str">
        <f t="shared" si="6"/>
        <v>-</v>
      </c>
      <c r="W11" s="1">
        <f t="shared" si="7"/>
        <v>0</v>
      </c>
      <c r="X11" s="1">
        <f t="shared" si="8"/>
        <v>0</v>
      </c>
      <c r="Y11" s="1">
        <f t="shared" si="9"/>
        <v>0</v>
      </c>
      <c r="AB11" s="2" t="s">
        <v>287</v>
      </c>
      <c r="AC11" s="1" t="str">
        <f t="shared" si="15"/>
        <v>-</v>
      </c>
      <c r="AD11" s="1" t="str">
        <f t="shared" si="16"/>
        <v>-</v>
      </c>
      <c r="AE11" s="1">
        <f t="shared" si="17"/>
        <v>0</v>
      </c>
      <c r="AF11" s="1">
        <f t="shared" si="18"/>
        <v>0</v>
      </c>
      <c r="AG11" s="1">
        <f t="shared" si="19"/>
        <v>0</v>
      </c>
    </row>
    <row r="12" spans="1:33" ht="16" customHeight="1" x14ac:dyDescent="0.3">
      <c r="A12" s="2" t="s">
        <v>289</v>
      </c>
      <c r="B12" s="1" t="str">
        <f>'Opocion Tarifaria '!B10</f>
        <v>-</v>
      </c>
      <c r="C12" s="1" t="str">
        <f>'Opocion Tarifaria '!C10</f>
        <v>-</v>
      </c>
      <c r="D12" s="1">
        <f>'Opocion Tarifaria '!D10</f>
        <v>0</v>
      </c>
      <c r="E12" s="1">
        <f>'Opocion Tarifaria '!E10</f>
        <v>0</v>
      </c>
      <c r="F12" s="1">
        <f>'Opocion Tarifaria '!F10</f>
        <v>0</v>
      </c>
      <c r="G12" s="1">
        <f>'Opocion Tarifaria '!G10</f>
        <v>0</v>
      </c>
      <c r="H12" s="1">
        <f>'Opocion Tarifaria '!H10</f>
        <v>0</v>
      </c>
      <c r="I12" s="5" t="e">
        <f t="shared" si="3"/>
        <v>#DIV/0!</v>
      </c>
      <c r="J12" s="7">
        <f t="shared" si="4"/>
        <v>0</v>
      </c>
      <c r="M12" s="11"/>
      <c r="P12" s="11"/>
      <c r="R12" s="11"/>
      <c r="T12" s="2" t="s">
        <v>288</v>
      </c>
      <c r="U12" s="1" t="str">
        <f t="shared" si="5"/>
        <v>-</v>
      </c>
      <c r="V12" s="1" t="str">
        <f t="shared" si="6"/>
        <v>-</v>
      </c>
      <c r="W12" s="1">
        <f t="shared" si="7"/>
        <v>0</v>
      </c>
      <c r="X12" s="1">
        <f t="shared" si="8"/>
        <v>0</v>
      </c>
      <c r="Y12" s="1">
        <f t="shared" si="9"/>
        <v>0</v>
      </c>
      <c r="AB12" s="2" t="s">
        <v>288</v>
      </c>
      <c r="AC12" s="1" t="str">
        <f t="shared" si="15"/>
        <v>-</v>
      </c>
      <c r="AD12" s="1" t="str">
        <f t="shared" si="16"/>
        <v>-</v>
      </c>
      <c r="AE12" s="1">
        <f t="shared" si="17"/>
        <v>0</v>
      </c>
      <c r="AF12" s="1">
        <f t="shared" si="18"/>
        <v>0</v>
      </c>
      <c r="AG12" s="1">
        <f t="shared" si="19"/>
        <v>0</v>
      </c>
    </row>
    <row r="13" spans="1:33" ht="16" customHeight="1" x14ac:dyDescent="0.3">
      <c r="A13" s="2" t="s">
        <v>290</v>
      </c>
      <c r="B13" s="1" t="str">
        <f>'Opocion Tarifaria '!B11</f>
        <v>-</v>
      </c>
      <c r="C13" s="1" t="str">
        <f>'Opocion Tarifaria '!C11</f>
        <v>-</v>
      </c>
      <c r="D13" s="1">
        <f>'Opocion Tarifaria '!D11</f>
        <v>0</v>
      </c>
      <c r="E13" s="1">
        <f>'Opocion Tarifaria '!E11</f>
        <v>0</v>
      </c>
      <c r="F13" s="1">
        <f>'Opocion Tarifaria '!F11</f>
        <v>0</v>
      </c>
      <c r="G13" s="1">
        <f>'Opocion Tarifaria '!G11</f>
        <v>0</v>
      </c>
      <c r="H13" s="1">
        <f>'Opocion Tarifaria '!H11</f>
        <v>0</v>
      </c>
      <c r="I13" s="5" t="e">
        <f>H13/J13</f>
        <v>#DIV/0!</v>
      </c>
      <c r="J13" s="7">
        <f>SQRT(((F13*F13)+(H13*H13)))</f>
        <v>0</v>
      </c>
      <c r="L13" s="117" t="s">
        <v>120</v>
      </c>
      <c r="M13" s="9" t="e">
        <f>Hoja1!C2+'Tarifa MTBT'!E30</f>
        <v>#NUM!</v>
      </c>
      <c r="O13" s="117" t="s">
        <v>119</v>
      </c>
      <c r="P13" s="14" t="e">
        <f>D30+Hoja1!B2</f>
        <v>#NUM!</v>
      </c>
      <c r="Q13" s="17" t="e">
        <f>P13</f>
        <v>#NUM!</v>
      </c>
      <c r="T13" s="2" t="s">
        <v>289</v>
      </c>
      <c r="U13" s="1" t="str">
        <f t="shared" si="5"/>
        <v>-</v>
      </c>
      <c r="V13" s="1" t="str">
        <f t="shared" si="6"/>
        <v>-</v>
      </c>
      <c r="W13" s="1">
        <f t="shared" si="7"/>
        <v>0</v>
      </c>
      <c r="X13" s="1">
        <f t="shared" si="8"/>
        <v>0</v>
      </c>
      <c r="Y13" s="1">
        <f t="shared" si="9"/>
        <v>0</v>
      </c>
      <c r="AB13" s="2" t="s">
        <v>289</v>
      </c>
      <c r="AC13" s="1" t="str">
        <f t="shared" si="15"/>
        <v>-</v>
      </c>
      <c r="AD13" s="1" t="str">
        <f t="shared" si="16"/>
        <v>-</v>
      </c>
      <c r="AE13" s="1">
        <f t="shared" si="17"/>
        <v>0</v>
      </c>
      <c r="AF13" s="1">
        <f t="shared" si="18"/>
        <v>0</v>
      </c>
      <c r="AG13" s="1">
        <f t="shared" si="19"/>
        <v>0</v>
      </c>
    </row>
    <row r="14" spans="1:33" ht="14.5" x14ac:dyDescent="0.3">
      <c r="A14" s="2" t="s">
        <v>291</v>
      </c>
      <c r="B14" s="1" t="str">
        <f>'Opocion Tarifaria '!B12</f>
        <v>-</v>
      </c>
      <c r="C14" s="1" t="str">
        <f>'Opocion Tarifaria '!C12</f>
        <v>-</v>
      </c>
      <c r="D14" s="1">
        <f>'Opocion Tarifaria '!D12</f>
        <v>0</v>
      </c>
      <c r="E14" s="1">
        <f>'Opocion Tarifaria '!E12</f>
        <v>0</v>
      </c>
      <c r="F14" s="1">
        <f>'Opocion Tarifaria '!F12</f>
        <v>0</v>
      </c>
      <c r="G14" s="1">
        <f>'Opocion Tarifaria '!G12</f>
        <v>0</v>
      </c>
      <c r="H14" s="1">
        <f>'Opocion Tarifaria '!H12</f>
        <v>0</v>
      </c>
      <c r="I14" s="5" t="e">
        <f t="shared" ref="I14:I18" si="20">H14/J14</f>
        <v>#DIV/0!</v>
      </c>
      <c r="J14" s="7">
        <f t="shared" ref="J14:J18" si="21">SQRT(((F14*F14)+(H14*H14)))</f>
        <v>0</v>
      </c>
      <c r="L14" s="117" t="s">
        <v>181</v>
      </c>
      <c r="M14" s="9" t="e">
        <f>Hoja1!C11+'Tarifa MTBT'!K30</f>
        <v>#NUM!</v>
      </c>
      <c r="N14" s="4"/>
      <c r="O14" s="117" t="s">
        <v>129</v>
      </c>
      <c r="P14" s="14" t="e">
        <f>Hoja1!B11+'Tarifa MTBT'!J30</f>
        <v>#NUM!</v>
      </c>
      <c r="Q14" s="17" t="e">
        <f t="shared" ref="Q14:Q15" si="22">P14</f>
        <v>#NUM!</v>
      </c>
      <c r="T14" s="2" t="s">
        <v>290</v>
      </c>
      <c r="U14" s="1" t="str">
        <f t="shared" si="5"/>
        <v>-</v>
      </c>
      <c r="V14" s="1" t="str">
        <f t="shared" si="6"/>
        <v>-</v>
      </c>
      <c r="W14" s="1">
        <f t="shared" si="7"/>
        <v>0</v>
      </c>
      <c r="X14" s="1">
        <f t="shared" si="8"/>
        <v>0</v>
      </c>
      <c r="Y14" s="1">
        <f t="shared" si="9"/>
        <v>0</v>
      </c>
      <c r="AB14" s="2" t="s">
        <v>290</v>
      </c>
      <c r="AC14" s="1" t="str">
        <f t="shared" si="15"/>
        <v>-</v>
      </c>
      <c r="AD14" s="1" t="str">
        <f t="shared" si="16"/>
        <v>-</v>
      </c>
      <c r="AE14" s="1">
        <f t="shared" si="17"/>
        <v>0</v>
      </c>
      <c r="AF14" s="1">
        <f t="shared" si="18"/>
        <v>0</v>
      </c>
      <c r="AG14" s="1">
        <f t="shared" si="19"/>
        <v>0</v>
      </c>
    </row>
    <row r="15" spans="1:33" ht="14.5" x14ac:dyDescent="0.3">
      <c r="A15" s="2" t="s">
        <v>292</v>
      </c>
      <c r="B15" s="1" t="str">
        <f>'Opocion Tarifaria '!B13</f>
        <v>-</v>
      </c>
      <c r="C15" s="1" t="str">
        <f>'Opocion Tarifaria '!C13</f>
        <v>-</v>
      </c>
      <c r="D15" s="1">
        <f>'Opocion Tarifaria '!D13</f>
        <v>0</v>
      </c>
      <c r="E15" s="1">
        <f>'Opocion Tarifaria '!E13</f>
        <v>0</v>
      </c>
      <c r="F15" s="1">
        <f>'Opocion Tarifaria '!F13</f>
        <v>0</v>
      </c>
      <c r="G15" s="1">
        <f>'Opocion Tarifaria '!G13</f>
        <v>0</v>
      </c>
      <c r="H15" s="1">
        <f>'Opocion Tarifaria '!H13</f>
        <v>0</v>
      </c>
      <c r="I15" s="5" t="e">
        <f t="shared" si="20"/>
        <v>#DIV/0!</v>
      </c>
      <c r="J15" s="7">
        <f t="shared" si="21"/>
        <v>0</v>
      </c>
      <c r="L15" s="117" t="s">
        <v>185</v>
      </c>
      <c r="M15" s="9" t="e">
        <f>Q30+Hoja1!C23</f>
        <v>#NUM!</v>
      </c>
      <c r="O15" s="117" t="s">
        <v>138</v>
      </c>
      <c r="P15" s="14" t="e">
        <f>P30+Hoja1!B23</f>
        <v>#NUM!</v>
      </c>
      <c r="Q15" s="17" t="e">
        <f t="shared" si="22"/>
        <v>#NUM!</v>
      </c>
      <c r="T15" s="2" t="s">
        <v>291</v>
      </c>
      <c r="U15" s="1" t="str">
        <f t="shared" si="5"/>
        <v>-</v>
      </c>
      <c r="V15" s="1" t="str">
        <f t="shared" si="6"/>
        <v>-</v>
      </c>
      <c r="W15" s="1">
        <f t="shared" si="7"/>
        <v>0</v>
      </c>
      <c r="X15" s="1">
        <f t="shared" si="8"/>
        <v>0</v>
      </c>
      <c r="Y15" s="1">
        <f t="shared" si="9"/>
        <v>0</v>
      </c>
      <c r="AB15" s="2" t="s">
        <v>291</v>
      </c>
      <c r="AC15" s="1" t="str">
        <f t="shared" si="15"/>
        <v>-</v>
      </c>
      <c r="AD15" s="1" t="str">
        <f t="shared" si="16"/>
        <v>-</v>
      </c>
      <c r="AE15" s="1">
        <f t="shared" si="17"/>
        <v>0</v>
      </c>
      <c r="AF15" s="1">
        <f t="shared" si="18"/>
        <v>0</v>
      </c>
      <c r="AG15" s="1">
        <f t="shared" si="19"/>
        <v>0</v>
      </c>
    </row>
    <row r="16" spans="1:33" ht="14.5" x14ac:dyDescent="0.3">
      <c r="A16" s="2" t="s">
        <v>293</v>
      </c>
      <c r="B16" s="1" t="str">
        <f>'Opocion Tarifaria '!B14</f>
        <v>-</v>
      </c>
      <c r="C16" s="1" t="str">
        <f>'Opocion Tarifaria '!C14</f>
        <v>-</v>
      </c>
      <c r="D16" s="1">
        <f>'Opocion Tarifaria '!D14</f>
        <v>0</v>
      </c>
      <c r="E16" s="1">
        <f>'Opocion Tarifaria '!E14</f>
        <v>0</v>
      </c>
      <c r="F16" s="1">
        <f>'Opocion Tarifaria '!F14</f>
        <v>0</v>
      </c>
      <c r="G16" s="1">
        <f>'Opocion Tarifaria '!G14</f>
        <v>0</v>
      </c>
      <c r="H16" s="1">
        <f>'Opocion Tarifaria '!H14</f>
        <v>0</v>
      </c>
      <c r="I16" s="5" t="e">
        <f t="shared" si="20"/>
        <v>#DIV/0!</v>
      </c>
      <c r="J16" s="7">
        <f t="shared" si="21"/>
        <v>0</v>
      </c>
      <c r="P16" s="6"/>
      <c r="Q16" s="17" t="e">
        <f>M13</f>
        <v>#NUM!</v>
      </c>
      <c r="T16" s="2" t="s">
        <v>292</v>
      </c>
      <c r="U16" s="1" t="str">
        <f t="shared" si="5"/>
        <v>-</v>
      </c>
      <c r="V16" s="1" t="str">
        <f t="shared" si="6"/>
        <v>-</v>
      </c>
      <c r="W16" s="1">
        <f t="shared" si="7"/>
        <v>0</v>
      </c>
      <c r="X16" s="1">
        <f t="shared" si="8"/>
        <v>0</v>
      </c>
      <c r="Y16" s="1">
        <f t="shared" si="9"/>
        <v>0</v>
      </c>
      <c r="AB16" s="2" t="s">
        <v>292</v>
      </c>
      <c r="AC16" s="1" t="str">
        <f t="shared" si="15"/>
        <v>-</v>
      </c>
      <c r="AD16" s="1" t="str">
        <f t="shared" si="16"/>
        <v>-</v>
      </c>
      <c r="AE16" s="1">
        <f t="shared" si="17"/>
        <v>0</v>
      </c>
      <c r="AF16" s="1">
        <f t="shared" si="18"/>
        <v>0</v>
      </c>
      <c r="AG16" s="1">
        <f t="shared" si="19"/>
        <v>0</v>
      </c>
    </row>
    <row r="17" spans="1:33" ht="14.5" x14ac:dyDescent="0.3">
      <c r="A17" s="2" t="s">
        <v>294</v>
      </c>
      <c r="B17" s="1" t="str">
        <f>'Opocion Tarifaria '!B15</f>
        <v>-</v>
      </c>
      <c r="C17" s="1" t="str">
        <f>'Opocion Tarifaria '!C15</f>
        <v>-</v>
      </c>
      <c r="D17" s="1">
        <f>'Opocion Tarifaria '!D15</f>
        <v>0</v>
      </c>
      <c r="E17" s="1">
        <f>'Opocion Tarifaria '!E15</f>
        <v>0</v>
      </c>
      <c r="F17" s="1">
        <f>'Opocion Tarifaria '!F15</f>
        <v>0</v>
      </c>
      <c r="G17" s="1">
        <f>'Opocion Tarifaria '!G15</f>
        <v>0</v>
      </c>
      <c r="H17" s="1">
        <f>'Opocion Tarifaria '!H15</f>
        <v>0</v>
      </c>
      <c r="I17" s="5" t="e">
        <f t="shared" si="20"/>
        <v>#DIV/0!</v>
      </c>
      <c r="J17" s="7">
        <f t="shared" si="21"/>
        <v>0</v>
      </c>
      <c r="P17" s="15" t="e">
        <f>MAX(Q13:Q18)</f>
        <v>#NUM!</v>
      </c>
      <c r="Q17" s="17" t="e">
        <f t="shared" ref="Q17:Q18" si="23">M14</f>
        <v>#NUM!</v>
      </c>
      <c r="T17" s="2" t="s">
        <v>293</v>
      </c>
      <c r="U17" s="1" t="str">
        <f t="shared" si="5"/>
        <v>-</v>
      </c>
      <c r="V17" s="1" t="str">
        <f t="shared" si="6"/>
        <v>-</v>
      </c>
      <c r="W17" s="1">
        <f t="shared" si="7"/>
        <v>0</v>
      </c>
      <c r="X17" s="1">
        <f t="shared" si="8"/>
        <v>0</v>
      </c>
      <c r="Y17" s="1">
        <f t="shared" si="9"/>
        <v>0</v>
      </c>
      <c r="AB17" s="2" t="s">
        <v>293</v>
      </c>
      <c r="AC17" s="1" t="str">
        <f t="shared" si="15"/>
        <v>-</v>
      </c>
      <c r="AD17" s="1" t="str">
        <f t="shared" si="16"/>
        <v>-</v>
      </c>
      <c r="AE17" s="1">
        <f t="shared" si="17"/>
        <v>0</v>
      </c>
      <c r="AF17" s="1">
        <f t="shared" si="18"/>
        <v>0</v>
      </c>
      <c r="AG17" s="1">
        <f t="shared" si="19"/>
        <v>0</v>
      </c>
    </row>
    <row r="18" spans="1:33" ht="14.5" x14ac:dyDescent="0.3">
      <c r="A18" s="2" t="s">
        <v>295</v>
      </c>
      <c r="B18" s="1" t="str">
        <f>'Opocion Tarifaria '!B16</f>
        <v>-</v>
      </c>
      <c r="C18" s="1" t="str">
        <f>'Opocion Tarifaria '!C16</f>
        <v>-</v>
      </c>
      <c r="D18" s="1">
        <f>'Opocion Tarifaria '!D16</f>
        <v>0</v>
      </c>
      <c r="E18" s="1">
        <f>'Opocion Tarifaria '!E16</f>
        <v>0</v>
      </c>
      <c r="F18" s="1">
        <f>'Opocion Tarifaria '!F16</f>
        <v>0</v>
      </c>
      <c r="G18" s="1">
        <f>'Opocion Tarifaria '!G16</f>
        <v>0</v>
      </c>
      <c r="H18" s="1">
        <f>'Opocion Tarifaria '!H16</f>
        <v>0</v>
      </c>
      <c r="I18" s="5" t="e">
        <f t="shared" si="20"/>
        <v>#DIV/0!</v>
      </c>
      <c r="J18" s="7">
        <f t="shared" si="21"/>
        <v>0</v>
      </c>
      <c r="M18" t="e" cm="1">
        <f t="array" ref="M18">(LARGE(L16:M16,{1}))</f>
        <v>#NUM!</v>
      </c>
      <c r="P18" s="15" t="e">
        <f>MIN(Q13:Q21)</f>
        <v>#NUM!</v>
      </c>
      <c r="Q18" s="17" t="e">
        <f t="shared" si="23"/>
        <v>#NUM!</v>
      </c>
      <c r="T18" s="2" t="s">
        <v>294</v>
      </c>
      <c r="U18" s="1" t="str">
        <f t="shared" ref="U18:V19" si="24">B17</f>
        <v>-</v>
      </c>
      <c r="V18" s="1" t="str">
        <f t="shared" si="24"/>
        <v>-</v>
      </c>
      <c r="W18" s="1">
        <f t="shared" ref="W18:Y19" si="25">D17</f>
        <v>0</v>
      </c>
      <c r="X18" s="1">
        <f t="shared" si="25"/>
        <v>0</v>
      </c>
      <c r="Y18" s="1">
        <f t="shared" si="25"/>
        <v>0</v>
      </c>
      <c r="AB18" s="2" t="s">
        <v>294</v>
      </c>
      <c r="AC18" s="1" t="str">
        <f t="shared" si="15"/>
        <v>-</v>
      </c>
      <c r="AD18" s="1" t="str">
        <f t="shared" si="16"/>
        <v>-</v>
      </c>
      <c r="AE18" s="1">
        <f t="shared" si="17"/>
        <v>0</v>
      </c>
      <c r="AF18" s="1">
        <f t="shared" si="18"/>
        <v>0</v>
      </c>
      <c r="AG18" s="1">
        <f t="shared" si="19"/>
        <v>0</v>
      </c>
    </row>
    <row r="19" spans="1:33" ht="14.5" x14ac:dyDescent="0.3">
      <c r="B19" t="e" cm="1">
        <f t="array" ref="B19">AVERAGE(LARGE(B7:B18,{1,2}))</f>
        <v>#NUM!</v>
      </c>
      <c r="C19" t="e" cm="1">
        <f t="array" ref="C19">AVERAGE(LARGE(C7:C18,{1,2}))</f>
        <v>#NUM!</v>
      </c>
      <c r="F19">
        <f>MAX(F13:F18)</f>
        <v>0</v>
      </c>
      <c r="P19" s="16" t="s">
        <v>188</v>
      </c>
      <c r="Q19" s="1"/>
      <c r="T19" s="2" t="s">
        <v>295</v>
      </c>
      <c r="U19" s="1" t="str">
        <f t="shared" si="24"/>
        <v>-</v>
      </c>
      <c r="V19" s="1" t="str">
        <f t="shared" si="24"/>
        <v>-</v>
      </c>
      <c r="W19" s="1">
        <f>D18</f>
        <v>0</v>
      </c>
      <c r="X19" s="1">
        <f t="shared" si="25"/>
        <v>0</v>
      </c>
      <c r="Y19" s="1">
        <f t="shared" si="25"/>
        <v>0</v>
      </c>
      <c r="AB19" s="2" t="s">
        <v>295</v>
      </c>
      <c r="AC19" s="1" t="str">
        <f t="shared" ref="AC19:AD19" si="26">U19</f>
        <v>-</v>
      </c>
      <c r="AD19" s="1" t="str">
        <f t="shared" si="26"/>
        <v>-</v>
      </c>
      <c r="AE19" s="1">
        <f t="shared" ref="AE19" si="27">W19</f>
        <v>0</v>
      </c>
      <c r="AF19" s="1">
        <f t="shared" ref="AF19" si="28">X19</f>
        <v>0</v>
      </c>
      <c r="AG19" s="1">
        <f t="shared" ref="AG19" si="29">Y19</f>
        <v>0</v>
      </c>
    </row>
    <row r="20" spans="1:33" x14ac:dyDescent="0.3">
      <c r="C20" t="e" cm="1">
        <f t="array" ref="C20">(LARGE(B18:C18,{1}))</f>
        <v>#NUM!</v>
      </c>
      <c r="P20" s="16" t="s">
        <v>50</v>
      </c>
      <c r="Q20" s="1"/>
      <c r="U20" s="20">
        <f>MAX(U8:V19)</f>
        <v>0</v>
      </c>
      <c r="V20" s="20">
        <f>MAX(V14:V19)</f>
        <v>0</v>
      </c>
      <c r="W20" s="20">
        <f t="shared" ref="W20:X20" si="30">MAX(W14:W19)</f>
        <v>0</v>
      </c>
      <c r="X20" s="20">
        <f t="shared" si="30"/>
        <v>0</v>
      </c>
      <c r="Y20" s="20">
        <f>MAX(Y8:Y19)</f>
        <v>0</v>
      </c>
      <c r="AC20" s="20">
        <f>MAX(AC8:AC19)</f>
        <v>0</v>
      </c>
      <c r="AD20" s="20">
        <f>MAX(AD8:AD19)</f>
        <v>0</v>
      </c>
      <c r="AE20" s="20">
        <f>MAX(AE14:AE19)</f>
        <v>0</v>
      </c>
      <c r="AF20" s="20">
        <f>MAX(AF14:AF19)</f>
        <v>0</v>
      </c>
      <c r="AG20" s="20">
        <f>MAX(AG14:AG19)</f>
        <v>0</v>
      </c>
    </row>
    <row r="21" spans="1:33" x14ac:dyDescent="0.3">
      <c r="B21" t="e" cm="1">
        <f t="array" ref="B21">AVERAGE(LARGE(B7:C18,{1,2}))</f>
        <v>#NUM!</v>
      </c>
      <c r="C21" t="e" cm="1">
        <f t="array" ref="C21">(LARGE(B19:C19,{1}))</f>
        <v>#NUM!</v>
      </c>
      <c r="P21" s="16" t="s">
        <v>195</v>
      </c>
      <c r="Q21" s="1"/>
      <c r="U21" s="20">
        <f>U20</f>
        <v>0</v>
      </c>
      <c r="V21" s="20">
        <f>V20</f>
        <v>0</v>
      </c>
      <c r="W21" s="20">
        <f>MAX(W19:X19)</f>
        <v>0</v>
      </c>
      <c r="X21" s="20">
        <f>MAX(W14:X19)</f>
        <v>0</v>
      </c>
      <c r="AC21" s="20">
        <f>MAX(AC8:AD19)</f>
        <v>0</v>
      </c>
      <c r="AD21" s="20">
        <f>MAX(AD8:AD19)</f>
        <v>0</v>
      </c>
    </row>
    <row r="22" spans="1:33" x14ac:dyDescent="0.3">
      <c r="B22" t="e">
        <f>LARGE(B7:B18,1)</f>
        <v>#NUM!</v>
      </c>
      <c r="C22" t="e">
        <f>LARGE(C7:C18,1)</f>
        <v>#NUM!</v>
      </c>
      <c r="U22">
        <f>MAX(U8:U19)</f>
        <v>0</v>
      </c>
      <c r="V22">
        <f>MAX(V8:V19)</f>
        <v>0</v>
      </c>
      <c r="AC22">
        <f>MAX(AC8:AC19)</f>
        <v>0</v>
      </c>
    </row>
    <row r="23" spans="1:33" x14ac:dyDescent="0.3">
      <c r="D23" s="108" t="s">
        <v>305</v>
      </c>
      <c r="E23" s="108" t="s">
        <v>120</v>
      </c>
      <c r="J23" s="108" t="s">
        <v>192</v>
      </c>
      <c r="K23" s="108" t="s">
        <v>181</v>
      </c>
      <c r="P23" s="108" t="s">
        <v>138</v>
      </c>
      <c r="Q23" s="108" t="s">
        <v>185</v>
      </c>
      <c r="T23" s="407" t="s">
        <v>50</v>
      </c>
      <c r="U23" s="407"/>
      <c r="X23" s="31" t="s">
        <v>195</v>
      </c>
      <c r="Y23" s="7"/>
      <c r="AB23" t="s">
        <v>199</v>
      </c>
    </row>
    <row r="24" spans="1:33" x14ac:dyDescent="0.3">
      <c r="A24" s="551" t="s">
        <v>306</v>
      </c>
      <c r="B24" s="551"/>
      <c r="C24">
        <f>D18</f>
        <v>0</v>
      </c>
      <c r="D24">
        <f>Hoja1!B3*$C$24</f>
        <v>0</v>
      </c>
      <c r="E24">
        <f>Hoja1!C3*$C$24</f>
        <v>0</v>
      </c>
      <c r="G24" s="551" t="s">
        <v>306</v>
      </c>
      <c r="H24" s="551"/>
      <c r="I24">
        <f>D18</f>
        <v>0</v>
      </c>
      <c r="J24">
        <f>I24*Hoja1!B12</f>
        <v>0</v>
      </c>
      <c r="K24">
        <f>I24*Hoja1!C12</f>
        <v>0</v>
      </c>
      <c r="M24" s="116" t="s">
        <v>307</v>
      </c>
      <c r="O24">
        <f>F18</f>
        <v>0</v>
      </c>
      <c r="P24">
        <f>Hoja1!B24*'Tarifa MTBT'!O24</f>
        <v>0</v>
      </c>
      <c r="Q24">
        <f>Hoja1!C24*'Tarifa MTBT'!O24</f>
        <v>0</v>
      </c>
      <c r="S24" t="s">
        <v>233</v>
      </c>
      <c r="T24" s="1"/>
      <c r="U24" s="1"/>
      <c r="W24" t="s">
        <v>308</v>
      </c>
      <c r="X24" s="1">
        <f>W19*Hoja1!G35</f>
        <v>0</v>
      </c>
      <c r="Y24" s="1">
        <f>W20*Hoja1!G35</f>
        <v>0</v>
      </c>
      <c r="AB24" s="19" t="s">
        <v>127</v>
      </c>
      <c r="AC24">
        <f>AE19*Hoja1!G13</f>
        <v>0</v>
      </c>
      <c r="AE24">
        <f>AE20*Hoja1!G13</f>
        <v>0</v>
      </c>
    </row>
    <row r="25" spans="1:33" x14ac:dyDescent="0.3">
      <c r="A25" s="551" t="s">
        <v>309</v>
      </c>
      <c r="B25" s="551"/>
      <c r="C25">
        <f>E18</f>
        <v>0</v>
      </c>
      <c r="D25">
        <f>Hoja1!B4*$C$25</f>
        <v>0</v>
      </c>
      <c r="E25">
        <f>Hoja1!C4*$C$25</f>
        <v>0</v>
      </c>
      <c r="G25" s="551" t="s">
        <v>309</v>
      </c>
      <c r="H25" s="551"/>
      <c r="I25">
        <f>E18</f>
        <v>0</v>
      </c>
      <c r="J25">
        <f>I25*Hoja1!B13</f>
        <v>0</v>
      </c>
      <c r="K25">
        <f>I25*Hoja1!C13</f>
        <v>0</v>
      </c>
      <c r="M25" s="116" t="s">
        <v>310</v>
      </c>
      <c r="O25" t="e">
        <f>C20</f>
        <v>#NUM!</v>
      </c>
      <c r="P25" t="e">
        <f>(IF($D$36&gt;=0.5,Hoja1!B26,Hoja1!B27))*O25</f>
        <v>#NUM!</v>
      </c>
      <c r="Q25" t="e">
        <f>(IF($D$36&gt;=0.5,Hoja1!C26,Hoja1!C27))*O25</f>
        <v>#NUM!</v>
      </c>
      <c r="S25" t="s">
        <v>229</v>
      </c>
      <c r="T25" s="1">
        <f>Y19*Hoja1!G26</f>
        <v>0</v>
      </c>
      <c r="U25" s="1">
        <f>Y20*Hoja1!G26</f>
        <v>0</v>
      </c>
      <c r="W25" t="s">
        <v>311</v>
      </c>
      <c r="X25" s="1">
        <f>X19*Hoja1!G36</f>
        <v>0</v>
      </c>
      <c r="Y25" s="1">
        <f>X20*Hoja1!G36</f>
        <v>0</v>
      </c>
      <c r="AB25" s="18" t="s">
        <v>136</v>
      </c>
      <c r="AC25">
        <f>AF19*Hoja1!G14</f>
        <v>0</v>
      </c>
      <c r="AE25">
        <f>AF20*Hoja1!G14</f>
        <v>0</v>
      </c>
    </row>
    <row r="26" spans="1:33" x14ac:dyDescent="0.3">
      <c r="A26" s="551" t="s">
        <v>312</v>
      </c>
      <c r="B26" s="551"/>
      <c r="C26" t="e">
        <f>B19</f>
        <v>#NUM!</v>
      </c>
      <c r="D26" t="e">
        <f>Hoja1!B6*'Tarifa MTBT'!C26</f>
        <v>#NUM!</v>
      </c>
      <c r="E26" t="e">
        <f>Hoja1!C6*'Tarifa MTBT'!C26</f>
        <v>#NUM!</v>
      </c>
      <c r="G26" s="116" t="s">
        <v>310</v>
      </c>
      <c r="I26" t="e">
        <f>C20</f>
        <v>#NUM!</v>
      </c>
      <c r="J26" t="e">
        <f>(IF($D$36&gt;=0.5,Hoja1!B15,Hoja1!B16))*I26</f>
        <v>#NUM!</v>
      </c>
      <c r="K26" t="e">
        <f>(IF($D$36&gt;=0.5,Hoja1!C15,Hoja1!C16))*I26</f>
        <v>#NUM!</v>
      </c>
      <c r="M26" s="550" t="s">
        <v>313</v>
      </c>
      <c r="N26" s="551"/>
      <c r="O26" t="e">
        <f>B21</f>
        <v>#NUM!</v>
      </c>
      <c r="P26" t="e">
        <f>(IF($D$36&gt;=0.5,Hoja1!B29,Hoja1!B30))*O26</f>
        <v>#NUM!</v>
      </c>
      <c r="Q26" t="e">
        <f>(IF($D$36&gt;=0.5,Hoja1!C29,Hoja1!C30))*O26</f>
        <v>#NUM!</v>
      </c>
      <c r="S26" t="s">
        <v>237</v>
      </c>
      <c r="T26" s="1"/>
      <c r="U26" s="1"/>
      <c r="W26" t="s">
        <v>314</v>
      </c>
      <c r="X26" s="1">
        <f>W19*Hoja1!G38</f>
        <v>0</v>
      </c>
      <c r="Y26" s="1">
        <f>W20*Hoja1!G38</f>
        <v>0</v>
      </c>
      <c r="AB26" s="19" t="s">
        <v>207</v>
      </c>
      <c r="AC26" s="3" t="e">
        <f>(AC40)*Hoja1!G15</f>
        <v>#VALUE!</v>
      </c>
      <c r="AE26" s="3">
        <f>(AE40)*Hoja1!G15</f>
        <v>0</v>
      </c>
    </row>
    <row r="27" spans="1:33" x14ac:dyDescent="0.3">
      <c r="A27" s="8" t="s">
        <v>315</v>
      </c>
      <c r="B27" s="8"/>
      <c r="C27" t="e">
        <f>MAX(C19-B19,0)</f>
        <v>#NUM!</v>
      </c>
      <c r="D27" t="e">
        <f>Hoja1!B7*'Tarifa MTBT'!C27</f>
        <v>#NUM!</v>
      </c>
      <c r="E27" t="e">
        <f>Hoja1!C7*'Tarifa MTBT'!C27</f>
        <v>#NUM!</v>
      </c>
      <c r="G27" s="550" t="s">
        <v>313</v>
      </c>
      <c r="H27" s="551"/>
      <c r="I27" t="e">
        <f>B21</f>
        <v>#NUM!</v>
      </c>
      <c r="J27" t="e">
        <f>(IF($D$36&gt;=0.5,Hoja1!B18,Hoja1!B19))*I27</f>
        <v>#NUM!</v>
      </c>
      <c r="K27" t="e">
        <f>(IF($D$36&gt;=0.5,Hoja1!C18,Hoja1!C19))*I27</f>
        <v>#NUM!</v>
      </c>
      <c r="M27" s="8" t="s">
        <v>316</v>
      </c>
      <c r="O27">
        <f>G18</f>
        <v>0</v>
      </c>
      <c r="P27">
        <f>O27*Hoja1!B31</f>
        <v>0</v>
      </c>
      <c r="Q27">
        <f>O27*Hoja1!C31</f>
        <v>0</v>
      </c>
      <c r="S27" t="s">
        <v>229</v>
      </c>
      <c r="T27" s="1">
        <f>Y19*Hoja1!G28</f>
        <v>0</v>
      </c>
      <c r="U27" s="1">
        <f>Y20*Hoja1!G28</f>
        <v>0</v>
      </c>
      <c r="W27" t="s">
        <v>317</v>
      </c>
      <c r="X27" s="1">
        <f>X19*Hoja1!G39</f>
        <v>0</v>
      </c>
      <c r="Y27" s="1">
        <f>X20*Hoja1!G39</f>
        <v>0</v>
      </c>
      <c r="AB27" t="s">
        <v>210</v>
      </c>
    </row>
    <row r="28" spans="1:33" x14ac:dyDescent="0.3">
      <c r="A28" s="8" t="s">
        <v>316</v>
      </c>
      <c r="B28" s="8"/>
      <c r="C28">
        <f>G18</f>
        <v>0</v>
      </c>
      <c r="D28">
        <f>Hoja1!B8*'Tarifa MTBT'!C28</f>
        <v>0</v>
      </c>
      <c r="E28">
        <f>Hoja1!C8*'Tarifa MTBT'!C28</f>
        <v>0</v>
      </c>
      <c r="G28" s="8" t="s">
        <v>316</v>
      </c>
      <c r="I28">
        <f>G18</f>
        <v>0</v>
      </c>
      <c r="J28">
        <f>I28*Hoja1!B20</f>
        <v>0</v>
      </c>
      <c r="K28">
        <f>I28*Hoja1!C20</f>
        <v>0</v>
      </c>
      <c r="T28" t="s">
        <v>318</v>
      </c>
      <c r="U28" t="s">
        <v>319</v>
      </c>
      <c r="X28" t="s">
        <v>318</v>
      </c>
      <c r="Y28" t="s">
        <v>319</v>
      </c>
      <c r="AB28" s="19" t="s">
        <v>127</v>
      </c>
      <c r="AC28">
        <f>AE19*Hoja1!G17</f>
        <v>0</v>
      </c>
      <c r="AE28">
        <f>AE20*Hoja1!G17</f>
        <v>0</v>
      </c>
    </row>
    <row r="29" spans="1:33" x14ac:dyDescent="0.3">
      <c r="A29" s="551" t="s">
        <v>320</v>
      </c>
      <c r="B29" s="551"/>
      <c r="C29" t="str">
        <f>B18</f>
        <v>-</v>
      </c>
      <c r="D29" t="e">
        <f>Hoja1!B5*C29</f>
        <v>#VALUE!</v>
      </c>
      <c r="E29" t="e">
        <f>Hoja1!C5*C29</f>
        <v>#VALUE!</v>
      </c>
      <c r="AB29" s="18" t="s">
        <v>136</v>
      </c>
      <c r="AC29">
        <f>AF19*Hoja1!G18</f>
        <v>0</v>
      </c>
      <c r="AE29">
        <f>AF20*Hoja1!G18</f>
        <v>0</v>
      </c>
    </row>
    <row r="30" spans="1:33" x14ac:dyDescent="0.3">
      <c r="D30" t="e">
        <f>SUM(D24:D29)</f>
        <v>#NUM!</v>
      </c>
      <c r="E30" t="e">
        <f>SUM(E24:E29)</f>
        <v>#NUM!</v>
      </c>
      <c r="H30" s="140" t="s">
        <v>365</v>
      </c>
      <c r="J30" t="e">
        <f>SUM(J24:J29)</f>
        <v>#NUM!</v>
      </c>
      <c r="K30" t="e">
        <f>SUM(K24:K29)</f>
        <v>#NUM!</v>
      </c>
      <c r="P30" t="e">
        <f>SUM(P24:P29)</f>
        <v>#NUM!</v>
      </c>
      <c r="Q30" t="e">
        <f>SUM(Q24:Q29)</f>
        <v>#NUM!</v>
      </c>
      <c r="AB30" s="19" t="s">
        <v>207</v>
      </c>
      <c r="AC30" s="3" t="e">
        <f>(AC41)*Hoja1!G19</f>
        <v>#VALUE!</v>
      </c>
      <c r="AE30" s="3">
        <f>(AE41)*Hoja1!G19</f>
        <v>0</v>
      </c>
    </row>
    <row r="31" spans="1:33" x14ac:dyDescent="0.3">
      <c r="T31" s="21">
        <f>IF('Tarifa MTBT'!Y19&lt;=140,'Tarifa MTBT'!T25,'Tarifa MTBT'!T27)+Hoja1!G23</f>
        <v>3.69</v>
      </c>
      <c r="U31" s="21">
        <f>IF('Tarifa MTBT'!Y19&lt;=140,'Tarifa MTBT'!U25,'Tarifa MTBT'!U27)+Hoja1!G23</f>
        <v>3.69</v>
      </c>
      <c r="W31" s="169" t="s">
        <v>377</v>
      </c>
      <c r="AC31" s="116" t="s">
        <v>321</v>
      </c>
    </row>
    <row r="32" spans="1:33" x14ac:dyDescent="0.3">
      <c r="A32" s="116" t="s">
        <v>322</v>
      </c>
      <c r="D32" s="10">
        <f>'Opocion Tarifaria '!I18</f>
        <v>30</v>
      </c>
      <c r="T32">
        <f>IF(OR(T36=W31,U36=W31),W31,T31)</f>
        <v>3.69</v>
      </c>
      <c r="U32">
        <f>IF(U21&lt;=20,U31,W31)</f>
        <v>3.69</v>
      </c>
      <c r="W32" t="s">
        <v>323</v>
      </c>
      <c r="AC32" t="e">
        <f>AC24+AC25+AC26+Hoja1!G11</f>
        <v>#VALUE!</v>
      </c>
      <c r="AE32">
        <f>AE24+AE25+AE26+Hoja1!G11</f>
        <v>9.48</v>
      </c>
    </row>
    <row r="33" spans="1:31" x14ac:dyDescent="0.3">
      <c r="A33" s="116" t="s">
        <v>299</v>
      </c>
      <c r="D33" s="10">
        <f>'Opocion Tarifaria '!I19</f>
        <v>4</v>
      </c>
      <c r="J33" t="e">
        <f>J27/I27</f>
        <v>#NUM!</v>
      </c>
      <c r="K33" t="e">
        <f>K27/I27</f>
        <v>#NUM!</v>
      </c>
      <c r="P33" t="e">
        <f>P26/O26</f>
        <v>#NUM!</v>
      </c>
      <c r="Q33" t="e">
        <f>Q26/O26</f>
        <v>#NUM!</v>
      </c>
      <c r="T33" t="e">
        <f>T31/Y19</f>
        <v>#DIV/0!</v>
      </c>
      <c r="U33" t="e">
        <f>U31/Y20</f>
        <v>#DIV/0!</v>
      </c>
      <c r="X33">
        <f>X24+X25</f>
        <v>0</v>
      </c>
      <c r="Y33">
        <f>Y24+Y25</f>
        <v>0</v>
      </c>
      <c r="AC33" s="21" t="e">
        <f>IF(AC21&lt;=20,AC32,AC31)</f>
        <v>#VALUE!</v>
      </c>
      <c r="AE33" s="21">
        <f>IF(AD21&lt;=20,AE32,AC31)</f>
        <v>9.48</v>
      </c>
    </row>
    <row r="34" spans="1:31" x14ac:dyDescent="0.3">
      <c r="A34" s="116" t="s">
        <v>324</v>
      </c>
      <c r="D34" s="10">
        <f>'Opocion Tarifaria '!I20</f>
        <v>2</v>
      </c>
      <c r="T34" t="e">
        <f>IF(T32=W31,"No aplica",T33)</f>
        <v>#DIV/0!</v>
      </c>
      <c r="U34" t="e">
        <f>IF(U32=W31,"No aplica",U33)</f>
        <v>#DIV/0!</v>
      </c>
      <c r="X34">
        <f>X26+X27</f>
        <v>0</v>
      </c>
      <c r="Y34">
        <f>Y26+Y27</f>
        <v>0</v>
      </c>
      <c r="AB34" t="str">
        <f>IF(AND(AC20&lt;=20,AD20&lt;=50),AC36,AC31)</f>
        <v>Excede Potencia</v>
      </c>
      <c r="AC34" s="32" t="e">
        <f>IF(AD20&gt;20,AB34,AB35)</f>
        <v>#VALUE!</v>
      </c>
      <c r="AE34" s="32">
        <f>IF(AD20&gt;20,AE36,AE33)</f>
        <v>9.48</v>
      </c>
    </row>
    <row r="35" spans="1:31" x14ac:dyDescent="0.3">
      <c r="A35" s="116" t="s">
        <v>325</v>
      </c>
      <c r="D35">
        <f>(D32-D33)*D34</f>
        <v>52</v>
      </c>
      <c r="X35" s="1">
        <f>IF(W21&lt;=140,X33,X34)+Hoja1!G32</f>
        <v>9.19</v>
      </c>
      <c r="Y35" s="1">
        <f>IF(X21&lt;=140,Y33,Y34)+Hoja1!G32</f>
        <v>9.19</v>
      </c>
      <c r="AB35" t="e">
        <f>IF(AND(AC20&lt;=20,AD20&lt;=20),AC33,AC31)</f>
        <v>#VALUE!</v>
      </c>
      <c r="AC35" t="e">
        <f>AC28+AC29+AC30+Hoja1!G11</f>
        <v>#VALUE!</v>
      </c>
      <c r="AE35">
        <f>AE28+AE29+AE30+Hoja1!G11</f>
        <v>9.48</v>
      </c>
    </row>
    <row r="36" spans="1:31" x14ac:dyDescent="0.3">
      <c r="D36" t="str">
        <f>IF(ISERROR(D18/(C20*D35)),"0",(D18/(C20*D35)))</f>
        <v>0</v>
      </c>
      <c r="T36">
        <f>IF(U22&lt;=20,T31,W31)</f>
        <v>3.69</v>
      </c>
      <c r="U36">
        <f>IF(V22&lt;=50,T31,W31)</f>
        <v>3.69</v>
      </c>
      <c r="X36">
        <f>IF(U20&lt;=10,X35,W32)</f>
        <v>9.19</v>
      </c>
      <c r="Y36">
        <f>IF(U21&lt;=10,Y35,W32)</f>
        <v>9.19</v>
      </c>
      <c r="AC36" s="21" t="str">
        <f>IF(AND(AC19&lt;=20,AD19&lt;=50),AC35,AC31)</f>
        <v>Excede Potencia</v>
      </c>
      <c r="AE36" s="21">
        <f>IF(AND(AC22&lt;=20,AD21&lt;=50),AE35,AC31)</f>
        <v>9.48</v>
      </c>
    </row>
    <row r="37" spans="1:31" x14ac:dyDescent="0.3">
      <c r="X37" t="e">
        <f>X35/Y19</f>
        <v>#DIV/0!</v>
      </c>
      <c r="Y37" t="e">
        <f>Y35/Y20</f>
        <v>#DIV/0!</v>
      </c>
    </row>
    <row r="38" spans="1:31" x14ac:dyDescent="0.3">
      <c r="X38" t="e">
        <f>IF(X36=W32,"No aplica",X37)</f>
        <v>#DIV/0!</v>
      </c>
      <c r="Y38" t="e">
        <f>IF(Y36=W32,"No aplica",Y37)</f>
        <v>#DIV/0!</v>
      </c>
      <c r="AC38" t="e">
        <f>AC34/AG19</f>
        <v>#VALUE!</v>
      </c>
      <c r="AE38" t="e">
        <f>AE34/AG20</f>
        <v>#DIV/0!</v>
      </c>
    </row>
    <row r="39" spans="1:31" x14ac:dyDescent="0.3">
      <c r="AC39" t="e">
        <f>IF(AC34=AC31,"No aplica",AC38)</f>
        <v>#VALUE!</v>
      </c>
      <c r="AE39" t="e">
        <f>IF(AE34=AC31,"No aplica",AE38)</f>
        <v>#DIV/0!</v>
      </c>
    </row>
    <row r="40" spans="1:31" x14ac:dyDescent="0.3">
      <c r="AC40" t="e">
        <f>MAX(AD19-AC19,0)</f>
        <v>#VALUE!</v>
      </c>
      <c r="AE40">
        <f>MAX(AD20-AC20,0)</f>
        <v>0</v>
      </c>
    </row>
    <row r="41" spans="1:31" x14ac:dyDescent="0.3">
      <c r="AC41" s="3" t="e">
        <f>MAX(AD19-AC19,0)</f>
        <v>#VALUE!</v>
      </c>
      <c r="AD41" s="3"/>
      <c r="AE41" s="3">
        <f>MAX(AD20-AC20,0)</f>
        <v>0</v>
      </c>
    </row>
    <row r="86" spans="20:24" x14ac:dyDescent="0.3">
      <c r="T86" s="548" t="s">
        <v>82</v>
      </c>
      <c r="U86" s="548"/>
      <c r="V86" s="548" t="s">
        <v>72</v>
      </c>
      <c r="W86" s="548"/>
      <c r="X86" s="548"/>
    </row>
    <row r="87" spans="20:24" x14ac:dyDescent="0.3">
      <c r="T87" s="125" t="s">
        <v>282</v>
      </c>
      <c r="U87" s="125" t="s">
        <v>283</v>
      </c>
      <c r="V87" s="125" t="s">
        <v>282</v>
      </c>
      <c r="W87" s="125" t="s">
        <v>283</v>
      </c>
      <c r="X87" s="125" t="s">
        <v>116</v>
      </c>
    </row>
    <row r="88" spans="20:24" x14ac:dyDescent="0.3">
      <c r="T88" s="1">
        <v>15.25</v>
      </c>
      <c r="U88" s="1">
        <v>76.400000000000006</v>
      </c>
      <c r="V88" s="1">
        <v>340.54</v>
      </c>
      <c r="W88" s="1">
        <v>6241.08</v>
      </c>
      <c r="X88" s="1">
        <f t="shared" ref="X88:X93" si="31">V88+W88</f>
        <v>6581.62</v>
      </c>
    </row>
    <row r="89" spans="20:24" x14ac:dyDescent="0.3">
      <c r="T89" s="1">
        <v>12.82</v>
      </c>
      <c r="U89" s="1">
        <v>67.27</v>
      </c>
      <c r="V89" s="1">
        <v>434.84</v>
      </c>
      <c r="W89" s="1">
        <v>5787.88</v>
      </c>
      <c r="X89" s="1">
        <f t="shared" si="31"/>
        <v>6222.72</v>
      </c>
    </row>
    <row r="90" spans="20:24" x14ac:dyDescent="0.3">
      <c r="T90" s="1">
        <v>13.63</v>
      </c>
      <c r="U90" s="1">
        <v>72.52</v>
      </c>
      <c r="V90" s="1">
        <v>366.37</v>
      </c>
      <c r="W90" s="1">
        <v>6067.95</v>
      </c>
      <c r="X90" s="1">
        <f t="shared" si="31"/>
        <v>6434.32</v>
      </c>
    </row>
    <row r="91" spans="20:24" x14ac:dyDescent="0.3">
      <c r="T91" s="1">
        <v>11.2</v>
      </c>
      <c r="U91" s="1">
        <v>68.5</v>
      </c>
      <c r="V91" s="1">
        <v>357.76</v>
      </c>
      <c r="W91" s="1">
        <v>5868.43</v>
      </c>
      <c r="X91" s="1">
        <f t="shared" si="31"/>
        <v>6226.1900000000005</v>
      </c>
    </row>
    <row r="92" spans="20:24" x14ac:dyDescent="0.3">
      <c r="T92" s="1">
        <v>12.83</v>
      </c>
      <c r="U92" s="1">
        <v>69.83</v>
      </c>
      <c r="V92" s="1">
        <v>294.01</v>
      </c>
      <c r="W92" s="1">
        <v>4245.1000000000004</v>
      </c>
      <c r="X92" s="1">
        <f t="shared" si="31"/>
        <v>4539.1100000000006</v>
      </c>
    </row>
    <row r="93" spans="20:24" x14ac:dyDescent="0.3">
      <c r="T93" s="1">
        <v>10.029999999999999</v>
      </c>
      <c r="U93" s="1">
        <v>56.23</v>
      </c>
      <c r="V93" s="1">
        <v>196.36</v>
      </c>
      <c r="W93" s="1">
        <v>2428.42</v>
      </c>
      <c r="X93" s="1">
        <f t="shared" si="31"/>
        <v>2624.78</v>
      </c>
    </row>
  </sheetData>
  <mergeCells count="22">
    <mergeCell ref="T86:U86"/>
    <mergeCell ref="V86:X86"/>
    <mergeCell ref="AC6:AD6"/>
    <mergeCell ref="AE6:AG6"/>
    <mergeCell ref="U6:V6"/>
    <mergeCell ref="W6:Y6"/>
    <mergeCell ref="T23:U23"/>
    <mergeCell ref="A3:I4"/>
    <mergeCell ref="I5:I6"/>
    <mergeCell ref="M26:N26"/>
    <mergeCell ref="A29:B29"/>
    <mergeCell ref="G5:G6"/>
    <mergeCell ref="G24:H24"/>
    <mergeCell ref="G25:H25"/>
    <mergeCell ref="G27:H27"/>
    <mergeCell ref="A24:B24"/>
    <mergeCell ref="A25:B25"/>
    <mergeCell ref="A26:B26"/>
    <mergeCell ref="A5:A6"/>
    <mergeCell ref="B5:C5"/>
    <mergeCell ref="D5:F5"/>
    <mergeCell ref="H5:H6"/>
  </mergeCells>
  <phoneticPr fontId="32" type="noConversion"/>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2FE92-244B-4C54-A967-4B9B72CFCD3F}">
  <sheetPr>
    <tabColor rgb="FF0070C0"/>
  </sheetPr>
  <dimension ref="A2:U20"/>
  <sheetViews>
    <sheetView topLeftCell="A3" workbookViewId="0">
      <selection activeCell="B32" sqref="B32"/>
    </sheetView>
  </sheetViews>
  <sheetFormatPr baseColWidth="10" defaultColWidth="10.6640625" defaultRowHeight="14" x14ac:dyDescent="0.3"/>
  <cols>
    <col min="1" max="4" width="10.6640625" style="173"/>
    <col min="5" max="5" width="5.6640625" style="173" customWidth="1"/>
    <col min="6" max="9" width="10.6640625" style="173"/>
    <col min="10" max="10" width="5.6640625" style="173" customWidth="1"/>
    <col min="11" max="12" width="11.6640625" style="173" customWidth="1"/>
    <col min="13" max="13" width="5.6640625" style="173" customWidth="1"/>
    <col min="14" max="15" width="10.6640625" style="173"/>
    <col min="16" max="16" width="2.1640625" style="173" customWidth="1"/>
    <col min="17" max="18" width="14.6640625" style="173" customWidth="1"/>
    <col min="19" max="16384" width="10.6640625" style="173"/>
  </cols>
  <sheetData>
    <row r="2" spans="1:21" ht="17" x14ac:dyDescent="0.3">
      <c r="A2" s="552" t="s">
        <v>58</v>
      </c>
      <c r="B2" s="552" t="s">
        <v>72</v>
      </c>
      <c r="C2" s="552"/>
      <c r="D2" s="552"/>
      <c r="F2" s="552" t="s">
        <v>379</v>
      </c>
      <c r="G2" s="552"/>
      <c r="H2" s="552"/>
      <c r="I2" s="552"/>
      <c r="K2" s="552" t="s">
        <v>380</v>
      </c>
      <c r="L2" s="553"/>
      <c r="N2" s="554" t="s">
        <v>381</v>
      </c>
      <c r="O2" s="554" t="s">
        <v>391</v>
      </c>
      <c r="Q2" s="555" t="s">
        <v>382</v>
      </c>
      <c r="R2" s="556"/>
    </row>
    <row r="3" spans="1:21" s="176" customFormat="1" ht="17" x14ac:dyDescent="0.3">
      <c r="A3" s="552"/>
      <c r="B3" s="172" t="s">
        <v>383</v>
      </c>
      <c r="C3" s="172" t="s">
        <v>384</v>
      </c>
      <c r="D3" s="175" t="s">
        <v>116</v>
      </c>
      <c r="F3" s="187" t="s">
        <v>116</v>
      </c>
      <c r="G3" s="187" t="s">
        <v>385</v>
      </c>
      <c r="H3" s="187" t="s">
        <v>386</v>
      </c>
      <c r="I3" s="175" t="s">
        <v>394</v>
      </c>
      <c r="J3" s="177"/>
      <c r="K3" s="172" t="s">
        <v>387</v>
      </c>
      <c r="L3" s="172" t="s">
        <v>388</v>
      </c>
      <c r="N3" s="554"/>
      <c r="O3" s="554"/>
      <c r="Q3" s="174" t="s">
        <v>389</v>
      </c>
      <c r="R3" s="174" t="s">
        <v>390</v>
      </c>
    </row>
    <row r="4" spans="1:21" x14ac:dyDescent="0.3">
      <c r="A4" s="178">
        <f>'[3]2.HistóricoConsumoEnergético'!A5</f>
        <v>45170</v>
      </c>
      <c r="B4" s="179">
        <f>'Opocion Tarifaria '!D5</f>
        <v>0</v>
      </c>
      <c r="C4" s="179">
        <f>'Opocion Tarifaria '!E5</f>
        <v>0</v>
      </c>
      <c r="D4" s="179">
        <f>B4+C4</f>
        <v>0</v>
      </c>
      <c r="F4" s="183">
        <f>G4+H4</f>
        <v>0</v>
      </c>
      <c r="G4" s="179">
        <f>D4*0.3</f>
        <v>0</v>
      </c>
      <c r="H4" s="183">
        <f>'Opocion Tarifaria '!G5</f>
        <v>0</v>
      </c>
      <c r="I4" s="183">
        <f>H4*Hoja1!$L$34</f>
        <v>0</v>
      </c>
      <c r="K4" s="184" t="e">
        <f>F4/C4</f>
        <v>#DIV/0!</v>
      </c>
      <c r="L4" s="185" t="e">
        <f>F4/D4</f>
        <v>#DIV/0!</v>
      </c>
      <c r="N4" s="179" t="str">
        <f>'Opocion Tarifaria '!C5</f>
        <v>-</v>
      </c>
      <c r="O4" s="179">
        <f>MAX('Opocion Tarifaria '!B5,'Opocion Tarifaria '!C5)</f>
        <v>0</v>
      </c>
      <c r="Q4" s="184" t="e">
        <f>K4*N4</f>
        <v>#DIV/0!</v>
      </c>
      <c r="R4" s="184" t="e">
        <f>L4*O4</f>
        <v>#DIV/0!</v>
      </c>
    </row>
    <row r="5" spans="1:21" x14ac:dyDescent="0.3">
      <c r="A5" s="178">
        <f>'[3]2.HistóricoConsumoEnergético'!A6</f>
        <v>45201</v>
      </c>
      <c r="B5" s="179">
        <f>'Opocion Tarifaria '!D6</f>
        <v>0</v>
      </c>
      <c r="C5" s="179">
        <f>'Opocion Tarifaria '!E6</f>
        <v>0</v>
      </c>
      <c r="D5" s="179">
        <f t="shared" ref="D5:D15" si="0">B5+C5</f>
        <v>0</v>
      </c>
      <c r="F5" s="183">
        <f t="shared" ref="F5:F15" si="1">G5+H5</f>
        <v>0</v>
      </c>
      <c r="G5" s="179">
        <f t="shared" ref="G5:G15" si="2">D5*0.3</f>
        <v>0</v>
      </c>
      <c r="H5" s="183">
        <f>'Opocion Tarifaria '!G6</f>
        <v>0</v>
      </c>
      <c r="I5" s="183">
        <f>H5*Hoja1!$L$34</f>
        <v>0</v>
      </c>
      <c r="K5" s="180" t="e">
        <f t="shared" ref="K5:K15" si="3">F5/C5</f>
        <v>#DIV/0!</v>
      </c>
      <c r="L5" s="181" t="e">
        <f t="shared" ref="L5:L15" si="4">F5/D5</f>
        <v>#DIV/0!</v>
      </c>
      <c r="N5" s="179" t="str">
        <f>'Opocion Tarifaria '!C6</f>
        <v>-</v>
      </c>
      <c r="O5" s="179">
        <f>MAX('Opocion Tarifaria '!B6,'Opocion Tarifaria '!C6)</f>
        <v>0</v>
      </c>
      <c r="Q5" s="180" t="e">
        <f t="shared" ref="Q5:Q15" si="5">K5*N5</f>
        <v>#DIV/0!</v>
      </c>
      <c r="R5" s="184" t="e">
        <f t="shared" ref="R5:R15" si="6">L5*O5</f>
        <v>#DIV/0!</v>
      </c>
      <c r="T5" s="186" t="s">
        <v>119</v>
      </c>
      <c r="U5" s="182" t="e">
        <f>R17</f>
        <v>#DIV/0!</v>
      </c>
    </row>
    <row r="6" spans="1:21" x14ac:dyDescent="0.3">
      <c r="A6" s="178">
        <f>'[3]2.HistóricoConsumoEnergético'!A7</f>
        <v>45232</v>
      </c>
      <c r="B6" s="179">
        <f>'Opocion Tarifaria '!D7</f>
        <v>0</v>
      </c>
      <c r="C6" s="179">
        <f>'Opocion Tarifaria '!E7</f>
        <v>0</v>
      </c>
      <c r="D6" s="179">
        <f t="shared" si="0"/>
        <v>0</v>
      </c>
      <c r="F6" s="183">
        <f t="shared" si="1"/>
        <v>0</v>
      </c>
      <c r="G6" s="179">
        <f t="shared" si="2"/>
        <v>0</v>
      </c>
      <c r="H6" s="183">
        <f>'Opocion Tarifaria '!G7</f>
        <v>0</v>
      </c>
      <c r="I6" s="183">
        <f>H6*Hoja1!$L$34</f>
        <v>0</v>
      </c>
      <c r="K6" s="180" t="e">
        <f t="shared" si="3"/>
        <v>#DIV/0!</v>
      </c>
      <c r="L6" s="181" t="e">
        <f t="shared" si="4"/>
        <v>#DIV/0!</v>
      </c>
      <c r="N6" s="179" t="str">
        <f>'Opocion Tarifaria '!C7</f>
        <v>-</v>
      </c>
      <c r="O6" s="179">
        <f>MAX('Opocion Tarifaria '!B7,'Opocion Tarifaria '!C7)</f>
        <v>0</v>
      </c>
      <c r="Q6" s="180" t="e">
        <f t="shared" si="5"/>
        <v>#DIV/0!</v>
      </c>
      <c r="R6" s="184" t="e">
        <f t="shared" si="6"/>
        <v>#DIV/0!</v>
      </c>
      <c r="T6" s="186" t="s">
        <v>129</v>
      </c>
      <c r="U6" s="182" t="e">
        <f>R17</f>
        <v>#DIV/0!</v>
      </c>
    </row>
    <row r="7" spans="1:21" x14ac:dyDescent="0.3">
      <c r="A7" s="178">
        <f>'[3]2.HistóricoConsumoEnergético'!A8</f>
        <v>45263</v>
      </c>
      <c r="B7" s="179">
        <f>'Opocion Tarifaria '!D8</f>
        <v>0</v>
      </c>
      <c r="C7" s="179">
        <f>'Opocion Tarifaria '!E8</f>
        <v>0</v>
      </c>
      <c r="D7" s="179">
        <f t="shared" si="0"/>
        <v>0</v>
      </c>
      <c r="F7" s="183">
        <f t="shared" si="1"/>
        <v>0</v>
      </c>
      <c r="G7" s="179">
        <f t="shared" si="2"/>
        <v>0</v>
      </c>
      <c r="H7" s="183">
        <f>'Opocion Tarifaria '!G8</f>
        <v>0</v>
      </c>
      <c r="I7" s="183">
        <f>H7*Hoja1!$L$34</f>
        <v>0</v>
      </c>
      <c r="K7" s="180" t="e">
        <f t="shared" si="3"/>
        <v>#DIV/0!</v>
      </c>
      <c r="L7" s="181" t="e">
        <f t="shared" si="4"/>
        <v>#DIV/0!</v>
      </c>
      <c r="N7" s="179" t="str">
        <f>'Opocion Tarifaria '!C8</f>
        <v>-</v>
      </c>
      <c r="O7" s="179">
        <f>MAX('Opocion Tarifaria '!B8,'Opocion Tarifaria '!C8)</f>
        <v>0</v>
      </c>
      <c r="Q7" s="180" t="e">
        <f t="shared" si="5"/>
        <v>#DIV/0!</v>
      </c>
      <c r="R7" s="184" t="e">
        <f t="shared" si="6"/>
        <v>#DIV/0!</v>
      </c>
      <c r="T7" s="186" t="s">
        <v>138</v>
      </c>
      <c r="U7" s="182" t="e">
        <f>R17</f>
        <v>#DIV/0!</v>
      </c>
    </row>
    <row r="8" spans="1:21" x14ac:dyDescent="0.3">
      <c r="A8" s="178">
        <f>'[3]2.HistóricoConsumoEnergético'!A9</f>
        <v>45294</v>
      </c>
      <c r="B8" s="179">
        <f>'Opocion Tarifaria '!D9</f>
        <v>0</v>
      </c>
      <c r="C8" s="179">
        <f>'Opocion Tarifaria '!E9</f>
        <v>0</v>
      </c>
      <c r="D8" s="179">
        <f t="shared" si="0"/>
        <v>0</v>
      </c>
      <c r="F8" s="183">
        <f t="shared" si="1"/>
        <v>0</v>
      </c>
      <c r="G8" s="179">
        <f t="shared" si="2"/>
        <v>0</v>
      </c>
      <c r="H8" s="183">
        <f>'Opocion Tarifaria '!G9</f>
        <v>0</v>
      </c>
      <c r="I8" s="183">
        <f>H8*Hoja1!$L$34</f>
        <v>0</v>
      </c>
      <c r="K8" s="180" t="e">
        <f t="shared" si="3"/>
        <v>#DIV/0!</v>
      </c>
      <c r="L8" s="181" t="e">
        <f t="shared" si="4"/>
        <v>#DIV/0!</v>
      </c>
      <c r="N8" s="179" t="str">
        <f>'Opocion Tarifaria '!C9</f>
        <v>-</v>
      </c>
      <c r="O8" s="179">
        <f>MAX('Opocion Tarifaria '!B9,'Opocion Tarifaria '!C9)</f>
        <v>0</v>
      </c>
      <c r="Q8" s="180" t="e">
        <f t="shared" si="5"/>
        <v>#DIV/0!</v>
      </c>
      <c r="R8" s="184" t="e">
        <f t="shared" si="6"/>
        <v>#DIV/0!</v>
      </c>
      <c r="T8" s="186" t="s">
        <v>120</v>
      </c>
      <c r="U8" s="182" t="e">
        <f>R17</f>
        <v>#DIV/0!</v>
      </c>
    </row>
    <row r="9" spans="1:21" x14ac:dyDescent="0.3">
      <c r="A9" s="178">
        <f>'[3]2.HistóricoConsumoEnergético'!A10</f>
        <v>45325</v>
      </c>
      <c r="B9" s="179">
        <f>'Opocion Tarifaria '!D10</f>
        <v>0</v>
      </c>
      <c r="C9" s="179">
        <f>'Opocion Tarifaria '!E10</f>
        <v>0</v>
      </c>
      <c r="D9" s="179">
        <f t="shared" si="0"/>
        <v>0</v>
      </c>
      <c r="F9" s="183">
        <f t="shared" si="1"/>
        <v>0</v>
      </c>
      <c r="G9" s="179">
        <f t="shared" si="2"/>
        <v>0</v>
      </c>
      <c r="H9" s="183">
        <f>'Opocion Tarifaria '!G10</f>
        <v>0</v>
      </c>
      <c r="I9" s="183">
        <f>H9*Hoja1!$L$34</f>
        <v>0</v>
      </c>
      <c r="K9" s="180" t="e">
        <f t="shared" si="3"/>
        <v>#DIV/0!</v>
      </c>
      <c r="L9" s="181" t="e">
        <f t="shared" si="4"/>
        <v>#DIV/0!</v>
      </c>
      <c r="N9" s="179" t="str">
        <f>'Opocion Tarifaria '!C10</f>
        <v>-</v>
      </c>
      <c r="O9" s="179">
        <f>MAX('Opocion Tarifaria '!B10,'Opocion Tarifaria '!C10)</f>
        <v>0</v>
      </c>
      <c r="Q9" s="180" t="e">
        <f t="shared" si="5"/>
        <v>#DIV/0!</v>
      </c>
      <c r="R9" s="184" t="e">
        <f t="shared" si="6"/>
        <v>#DIV/0!</v>
      </c>
      <c r="T9" s="186" t="s">
        <v>181</v>
      </c>
      <c r="U9" s="182" t="e">
        <f>R17</f>
        <v>#DIV/0!</v>
      </c>
    </row>
    <row r="10" spans="1:21" x14ac:dyDescent="0.3">
      <c r="A10" s="178">
        <f>'[3]2.HistóricoConsumoEnergético'!A11</f>
        <v>45356</v>
      </c>
      <c r="B10" s="179">
        <f>'Opocion Tarifaria '!D11</f>
        <v>0</v>
      </c>
      <c r="C10" s="179">
        <f>'Opocion Tarifaria '!E11</f>
        <v>0</v>
      </c>
      <c r="D10" s="179">
        <f t="shared" si="0"/>
        <v>0</v>
      </c>
      <c r="F10" s="183">
        <f t="shared" si="1"/>
        <v>0</v>
      </c>
      <c r="G10" s="179">
        <f t="shared" si="2"/>
        <v>0</v>
      </c>
      <c r="H10" s="183">
        <f>'Opocion Tarifaria '!G11</f>
        <v>0</v>
      </c>
      <c r="I10" s="183">
        <f>H10*Hoja1!$L$34</f>
        <v>0</v>
      </c>
      <c r="K10" s="180" t="e">
        <f t="shared" si="3"/>
        <v>#DIV/0!</v>
      </c>
      <c r="L10" s="181" t="e">
        <f t="shared" si="4"/>
        <v>#DIV/0!</v>
      </c>
      <c r="N10" s="179" t="str">
        <f>'Opocion Tarifaria '!C11</f>
        <v>-</v>
      </c>
      <c r="O10" s="179">
        <f>MAX('Opocion Tarifaria '!B11,'Opocion Tarifaria '!C11)</f>
        <v>0</v>
      </c>
      <c r="Q10" s="180" t="e">
        <f t="shared" si="5"/>
        <v>#DIV/0!</v>
      </c>
      <c r="R10" s="184" t="e">
        <f t="shared" si="6"/>
        <v>#DIV/0!</v>
      </c>
      <c r="T10" s="186" t="s">
        <v>185</v>
      </c>
      <c r="U10" s="182" t="e">
        <f>R17</f>
        <v>#DIV/0!</v>
      </c>
    </row>
    <row r="11" spans="1:21" x14ac:dyDescent="0.3">
      <c r="A11" s="178">
        <f>'[3]2.HistóricoConsumoEnergético'!A12</f>
        <v>45387</v>
      </c>
      <c r="B11" s="179">
        <f>'Opocion Tarifaria '!D12</f>
        <v>0</v>
      </c>
      <c r="C11" s="179">
        <f>'Opocion Tarifaria '!E12</f>
        <v>0</v>
      </c>
      <c r="D11" s="179">
        <f t="shared" si="0"/>
        <v>0</v>
      </c>
      <c r="F11" s="183">
        <f t="shared" si="1"/>
        <v>0</v>
      </c>
      <c r="G11" s="179">
        <f t="shared" si="2"/>
        <v>0</v>
      </c>
      <c r="H11" s="183">
        <f>'Opocion Tarifaria '!G12</f>
        <v>0</v>
      </c>
      <c r="I11" s="183">
        <f>H11*Hoja1!$L$34</f>
        <v>0</v>
      </c>
      <c r="K11" s="180" t="e">
        <f t="shared" si="3"/>
        <v>#DIV/0!</v>
      </c>
      <c r="L11" s="181" t="e">
        <f t="shared" si="4"/>
        <v>#DIV/0!</v>
      </c>
      <c r="N11" s="179" t="str">
        <f>'Opocion Tarifaria '!C12</f>
        <v>-</v>
      </c>
      <c r="O11" s="179">
        <f>MAX('Opocion Tarifaria '!B12,'Opocion Tarifaria '!C12)</f>
        <v>0</v>
      </c>
      <c r="Q11" s="180" t="e">
        <f t="shared" si="5"/>
        <v>#DIV/0!</v>
      </c>
      <c r="R11" s="184" t="e">
        <f t="shared" si="6"/>
        <v>#DIV/0!</v>
      </c>
      <c r="T11" s="186" t="s">
        <v>188</v>
      </c>
      <c r="U11" s="173" t="e">
        <f>R17*Hoja1!L30</f>
        <v>#DIV/0!</v>
      </c>
    </row>
    <row r="12" spans="1:21" x14ac:dyDescent="0.3">
      <c r="A12" s="178">
        <f>'[3]2.HistóricoConsumoEnergético'!A13</f>
        <v>45418</v>
      </c>
      <c r="B12" s="179">
        <f>'Opocion Tarifaria '!D13</f>
        <v>0</v>
      </c>
      <c r="C12" s="179">
        <f>'Opocion Tarifaria '!E13</f>
        <v>0</v>
      </c>
      <c r="D12" s="179">
        <f t="shared" si="0"/>
        <v>0</v>
      </c>
      <c r="F12" s="183">
        <f t="shared" si="1"/>
        <v>0</v>
      </c>
      <c r="G12" s="179">
        <f t="shared" si="2"/>
        <v>0</v>
      </c>
      <c r="H12" s="183">
        <f>'Opocion Tarifaria '!G13</f>
        <v>0</v>
      </c>
      <c r="I12" s="183">
        <f>H12*Hoja1!$L$34</f>
        <v>0</v>
      </c>
      <c r="K12" s="180" t="e">
        <f t="shared" si="3"/>
        <v>#DIV/0!</v>
      </c>
      <c r="L12" s="181" t="e">
        <f t="shared" si="4"/>
        <v>#DIV/0!</v>
      </c>
      <c r="N12" s="179" t="str">
        <f>'Opocion Tarifaria '!C13</f>
        <v>-</v>
      </c>
      <c r="O12" s="179">
        <f>MAX('Opocion Tarifaria '!B13,'Opocion Tarifaria '!C13)</f>
        <v>0</v>
      </c>
      <c r="Q12" s="180" t="e">
        <f t="shared" si="5"/>
        <v>#DIV/0!</v>
      </c>
      <c r="R12" s="184" t="e">
        <f t="shared" si="6"/>
        <v>#DIV/0!</v>
      </c>
      <c r="T12" s="186" t="s">
        <v>50</v>
      </c>
      <c r="U12" s="173" t="e">
        <f>R17*Hoja1!L31</f>
        <v>#DIV/0!</v>
      </c>
    </row>
    <row r="13" spans="1:21" x14ac:dyDescent="0.3">
      <c r="A13" s="178">
        <f>'[3]2.HistóricoConsumoEnergético'!A14</f>
        <v>45449</v>
      </c>
      <c r="B13" s="179">
        <f>'Opocion Tarifaria '!D14</f>
        <v>0</v>
      </c>
      <c r="C13" s="179">
        <f>'Opocion Tarifaria '!E14</f>
        <v>0</v>
      </c>
      <c r="D13" s="179">
        <f t="shared" si="0"/>
        <v>0</v>
      </c>
      <c r="F13" s="183">
        <f t="shared" si="1"/>
        <v>0</v>
      </c>
      <c r="G13" s="179">
        <f t="shared" si="2"/>
        <v>0</v>
      </c>
      <c r="H13" s="183">
        <f>'Opocion Tarifaria '!G14</f>
        <v>0</v>
      </c>
      <c r="I13" s="183">
        <f>H13*Hoja1!$L$34</f>
        <v>0</v>
      </c>
      <c r="K13" s="180" t="e">
        <f t="shared" si="3"/>
        <v>#DIV/0!</v>
      </c>
      <c r="L13" s="181" t="e">
        <f t="shared" si="4"/>
        <v>#DIV/0!</v>
      </c>
      <c r="N13" s="179" t="str">
        <f>'Opocion Tarifaria '!C14</f>
        <v>-</v>
      </c>
      <c r="O13" s="179">
        <f>MAX('Opocion Tarifaria '!B14,'Opocion Tarifaria '!C14)</f>
        <v>0</v>
      </c>
      <c r="Q13" s="180" t="e">
        <f t="shared" si="5"/>
        <v>#DIV/0!</v>
      </c>
      <c r="R13" s="184" t="e">
        <f t="shared" si="6"/>
        <v>#DIV/0!</v>
      </c>
      <c r="T13" s="186" t="s">
        <v>195</v>
      </c>
      <c r="U13" s="173" t="e">
        <f>R17*Hoja1!L32</f>
        <v>#DIV/0!</v>
      </c>
    </row>
    <row r="14" spans="1:21" x14ac:dyDescent="0.3">
      <c r="A14" s="178">
        <f>'[3]2.HistóricoConsumoEnergético'!A15</f>
        <v>45480</v>
      </c>
      <c r="B14" s="179">
        <f>'Opocion Tarifaria '!D15</f>
        <v>0</v>
      </c>
      <c r="C14" s="179">
        <f>'Opocion Tarifaria '!E15</f>
        <v>0</v>
      </c>
      <c r="D14" s="179">
        <f t="shared" si="0"/>
        <v>0</v>
      </c>
      <c r="F14" s="183">
        <f t="shared" si="1"/>
        <v>0</v>
      </c>
      <c r="G14" s="179">
        <f t="shared" si="2"/>
        <v>0</v>
      </c>
      <c r="H14" s="183">
        <f>'Opocion Tarifaria '!G15</f>
        <v>0</v>
      </c>
      <c r="I14" s="183">
        <f>H14*Hoja1!$L$34</f>
        <v>0</v>
      </c>
      <c r="K14" s="180" t="e">
        <f t="shared" si="3"/>
        <v>#DIV/0!</v>
      </c>
      <c r="L14" s="181" t="e">
        <f t="shared" si="4"/>
        <v>#DIV/0!</v>
      </c>
      <c r="N14" s="179" t="str">
        <f>'Opocion Tarifaria '!C15</f>
        <v>-</v>
      </c>
      <c r="O14" s="179">
        <f>MAX('Opocion Tarifaria '!B15,'Opocion Tarifaria '!C15)</f>
        <v>0</v>
      </c>
      <c r="Q14" s="180" t="e">
        <f t="shared" si="5"/>
        <v>#DIV/0!</v>
      </c>
      <c r="R14" s="184" t="e">
        <f t="shared" si="6"/>
        <v>#DIV/0!</v>
      </c>
    </row>
    <row r="15" spans="1:21" x14ac:dyDescent="0.3">
      <c r="A15" s="178">
        <f>'[3]2.HistóricoConsumoEnergético'!A16</f>
        <v>45511</v>
      </c>
      <c r="B15" s="179">
        <f>'Opocion Tarifaria '!D16</f>
        <v>0</v>
      </c>
      <c r="C15" s="179">
        <f>'Opocion Tarifaria '!E16</f>
        <v>0</v>
      </c>
      <c r="D15" s="179">
        <f t="shared" si="0"/>
        <v>0</v>
      </c>
      <c r="F15" s="183">
        <f t="shared" si="1"/>
        <v>0</v>
      </c>
      <c r="G15" s="179">
        <f t="shared" si="2"/>
        <v>0</v>
      </c>
      <c r="H15" s="183">
        <f>'Opocion Tarifaria '!G16</f>
        <v>0</v>
      </c>
      <c r="I15" s="183">
        <f>H15*Hoja1!$L$34</f>
        <v>0</v>
      </c>
      <c r="K15" s="180" t="e">
        <f t="shared" si="3"/>
        <v>#DIV/0!</v>
      </c>
      <c r="L15" s="181" t="e">
        <f t="shared" si="4"/>
        <v>#DIV/0!</v>
      </c>
      <c r="N15" s="179" t="str">
        <f>'Opocion Tarifaria '!C16</f>
        <v>-</v>
      </c>
      <c r="O15" s="179">
        <f>MAX('Opocion Tarifaria '!B16,'Opocion Tarifaria '!C16)</f>
        <v>0</v>
      </c>
      <c r="Q15" s="180" t="e">
        <f t="shared" si="5"/>
        <v>#DIV/0!</v>
      </c>
      <c r="R15" s="184" t="e">
        <f t="shared" si="6"/>
        <v>#DIV/0!</v>
      </c>
    </row>
    <row r="16" spans="1:21" x14ac:dyDescent="0.3">
      <c r="I16" s="173">
        <f>AVERAGE(I4:I15)</f>
        <v>0</v>
      </c>
    </row>
    <row r="17" spans="6:21" x14ac:dyDescent="0.3">
      <c r="Q17" s="182"/>
      <c r="R17" s="182" t="e">
        <f>MAX(Q4:R15)</f>
        <v>#DIV/0!</v>
      </c>
      <c r="T17" s="173" t="str">
        <f>'1.GeneralesEmpresa'!B5</f>
        <v>MT3</v>
      </c>
      <c r="U17" s="173" t="e">
        <f>_xlfn.XLOOKUP(T17,T5:T13,U5:U13)</f>
        <v>#DIV/0!</v>
      </c>
    </row>
    <row r="18" spans="6:21" x14ac:dyDescent="0.3">
      <c r="F18" s="173" t="s">
        <v>396</v>
      </c>
      <c r="I18" s="179" t="e">
        <f>'6.Compensación'!B3/'Potencia-Condensador'!I16</f>
        <v>#DIV/0!</v>
      </c>
      <c r="U18" s="173" t="e">
        <f>CEILING(U17,5)</f>
        <v>#DIV/0!</v>
      </c>
    </row>
    <row r="19" spans="6:21" x14ac:dyDescent="0.3">
      <c r="I19" s="179" t="e">
        <f>ROUNDUP('Potencia-Condensador'!I18,0.5)</f>
        <v>#DIV/0!</v>
      </c>
      <c r="T19" s="173" t="str">
        <f>IFERROR(U18,U19)</f>
        <v>-</v>
      </c>
      <c r="U19" s="199" t="s">
        <v>402</v>
      </c>
    </row>
    <row r="20" spans="6:21" x14ac:dyDescent="0.3">
      <c r="F20" s="173" t="str">
        <f>IFERROR(I19,I20)</f>
        <v>-</v>
      </c>
      <c r="I20" s="198" t="s">
        <v>402</v>
      </c>
    </row>
  </sheetData>
  <mergeCells count="7">
    <mergeCell ref="A2:A3"/>
    <mergeCell ref="B2:D2"/>
    <mergeCell ref="K2:L2"/>
    <mergeCell ref="N2:N3"/>
    <mergeCell ref="Q2:R2"/>
    <mergeCell ref="O2:O3"/>
    <mergeCell ref="F2:I2"/>
  </mergeCell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9CCBC-A694-4235-B191-7A8EF784C834}">
  <sheetPr>
    <pageSetUpPr fitToPage="1"/>
  </sheetPr>
  <dimension ref="A1:G36"/>
  <sheetViews>
    <sheetView showGridLines="0" zoomScaleNormal="100" workbookViewId="0">
      <pane xSplit="1" ySplit="1" topLeftCell="B26" activePane="bottomRight" state="frozen"/>
      <selection activeCell="C6" sqref="C6"/>
      <selection pane="topRight" activeCell="C6" sqref="C6"/>
      <selection pane="bottomLeft" activeCell="C6" sqref="C6"/>
      <selection pane="bottomRight" activeCell="C6" sqref="C6"/>
    </sheetView>
  </sheetViews>
  <sheetFormatPr baseColWidth="10" defaultColWidth="15" defaultRowHeight="15.5" customHeight="1" x14ac:dyDescent="0.3"/>
  <cols>
    <col min="1" max="1" width="62.6640625" style="236" customWidth="1"/>
    <col min="2" max="2" width="21.1640625" style="201" customWidth="1"/>
    <col min="3" max="4" width="23.6640625" style="201" customWidth="1"/>
    <col min="5" max="5" width="18.6640625" style="201" customWidth="1"/>
    <col min="6" max="6" width="15" style="201" customWidth="1"/>
    <col min="7" max="16384" width="15" style="201"/>
  </cols>
  <sheetData>
    <row r="1" spans="1:7" ht="13" customHeight="1" x14ac:dyDescent="0.3">
      <c r="A1" s="226"/>
      <c r="B1" s="200"/>
      <c r="C1" s="200"/>
      <c r="D1" s="200"/>
      <c r="E1" s="200"/>
    </row>
    <row r="2" spans="1:7" ht="13.5" customHeight="1" x14ac:dyDescent="0.3">
      <c r="A2" s="227"/>
      <c r="B2" s="202"/>
      <c r="C2" s="203"/>
      <c r="D2" s="349" t="s">
        <v>403</v>
      </c>
      <c r="E2" s="203"/>
    </row>
    <row r="3" spans="1:7" ht="13.5" customHeight="1" x14ac:dyDescent="0.3">
      <c r="A3" s="228" t="s">
        <v>404</v>
      </c>
      <c r="B3" s="343">
        <v>100</v>
      </c>
      <c r="C3" s="206"/>
      <c r="D3" s="350">
        <v>20</v>
      </c>
      <c r="E3" s="206"/>
    </row>
    <row r="4" spans="1:7" ht="13.5" customHeight="1" x14ac:dyDescent="0.3">
      <c r="A4" s="228" t="s">
        <v>405</v>
      </c>
      <c r="B4" s="344">
        <v>0</v>
      </c>
      <c r="C4" s="206"/>
      <c r="D4" s="206"/>
      <c r="E4" s="206"/>
    </row>
    <row r="5" spans="1:7" ht="13.5" customHeight="1" x14ac:dyDescent="0.3">
      <c r="A5" s="229" t="s">
        <v>406</v>
      </c>
      <c r="B5" s="340" t="str">
        <f>Datos!J9</f>
        <v>Arequipa</v>
      </c>
      <c r="C5" s="206"/>
      <c r="D5" s="206"/>
      <c r="E5" s="206"/>
    </row>
    <row r="6" spans="1:7" ht="13.5" customHeight="1" x14ac:dyDescent="0.3">
      <c r="A6" s="229" t="s">
        <v>407</v>
      </c>
      <c r="B6" s="345">
        <v>5</v>
      </c>
      <c r="C6" s="206"/>
      <c r="D6" s="206"/>
      <c r="E6" s="206"/>
    </row>
    <row r="7" spans="1:7" ht="13.25" customHeight="1" x14ac:dyDescent="0.45">
      <c r="A7" s="230" t="s">
        <v>408</v>
      </c>
      <c r="B7" s="206">
        <f>Datos!K9</f>
        <v>1950</v>
      </c>
      <c r="C7" s="206"/>
      <c r="D7" s="206"/>
      <c r="E7" s="206"/>
    </row>
    <row r="8" spans="1:7" ht="13.5" customHeight="1" x14ac:dyDescent="0.3">
      <c r="A8" s="228" t="s">
        <v>409</v>
      </c>
      <c r="B8" s="346">
        <f>B6*B7</f>
        <v>9750</v>
      </c>
      <c r="C8" s="206"/>
      <c r="D8" s="206"/>
      <c r="E8" s="206"/>
    </row>
    <row r="9" spans="1:7" ht="13.5" customHeight="1" x14ac:dyDescent="0.3">
      <c r="A9" s="228" t="s">
        <v>410</v>
      </c>
      <c r="B9" s="347">
        <f>Hoja1!AQ18</f>
        <v>0</v>
      </c>
      <c r="C9" s="206"/>
      <c r="D9" s="206"/>
      <c r="E9" s="206"/>
    </row>
    <row r="10" spans="1:7" ht="13.5" customHeight="1" x14ac:dyDescent="0.3">
      <c r="A10" s="231" t="s">
        <v>411</v>
      </c>
      <c r="B10" s="341">
        <f>B8</f>
        <v>9750</v>
      </c>
      <c r="C10" s="206"/>
      <c r="D10" s="206"/>
      <c r="E10" s="206"/>
    </row>
    <row r="11" spans="1:7" ht="13.25" customHeight="1" x14ac:dyDescent="0.3">
      <c r="A11" s="232" t="s">
        <v>412</v>
      </c>
      <c r="B11" s="209">
        <f>B9-B10</f>
        <v>-9750</v>
      </c>
      <c r="C11" s="206"/>
      <c r="D11" s="206"/>
      <c r="E11" s="206"/>
      <c r="G11" s="352"/>
    </row>
    <row r="12" spans="1:7" ht="13.25" customHeight="1" x14ac:dyDescent="0.3">
      <c r="A12" s="230"/>
      <c r="B12" s="210"/>
      <c r="C12" s="206"/>
      <c r="D12" s="206"/>
      <c r="E12" s="206"/>
      <c r="G12" s="352"/>
    </row>
    <row r="13" spans="1:7" ht="13.5" customHeight="1" x14ac:dyDescent="0.3">
      <c r="A13" s="228" t="s">
        <v>413</v>
      </c>
      <c r="B13" s="348" t="e">
        <f>Hoja1!AT19/'6.Compensación'!C7</f>
        <v>#DIV/0!</v>
      </c>
      <c r="C13" s="206"/>
      <c r="D13" s="206"/>
      <c r="E13" s="206"/>
      <c r="G13" s="352"/>
    </row>
    <row r="14" spans="1:7" ht="13.5" customHeight="1" x14ac:dyDescent="0.3">
      <c r="A14" s="231" t="s">
        <v>414</v>
      </c>
      <c r="B14" s="342" t="e">
        <f>(((B13*POWER((1+(B4/100)),D3)))+B13)/2</f>
        <v>#DIV/0!</v>
      </c>
      <c r="C14" s="206"/>
      <c r="D14" s="206"/>
      <c r="E14" s="206"/>
    </row>
    <row r="15" spans="1:7" ht="13.5" customHeight="1" x14ac:dyDescent="0.3">
      <c r="A15" s="228" t="s">
        <v>415</v>
      </c>
      <c r="B15" s="343">
        <v>0</v>
      </c>
      <c r="C15" s="206"/>
      <c r="D15" s="206"/>
      <c r="E15" s="206"/>
    </row>
    <row r="16" spans="1:7" ht="13.5" customHeight="1" x14ac:dyDescent="0.3">
      <c r="A16" s="228"/>
      <c r="B16" s="211"/>
      <c r="C16" s="206"/>
      <c r="D16" s="206"/>
      <c r="E16" s="206"/>
    </row>
    <row r="17" spans="1:5" ht="13.5" customHeight="1" x14ac:dyDescent="0.45">
      <c r="A17" s="228" t="s">
        <v>416</v>
      </c>
      <c r="B17" s="345">
        <v>1250</v>
      </c>
      <c r="C17" s="206"/>
      <c r="D17" s="206"/>
      <c r="E17" s="206"/>
    </row>
    <row r="18" spans="1:5" ht="13.5" customHeight="1" x14ac:dyDescent="0.3">
      <c r="A18" s="228" t="s">
        <v>417</v>
      </c>
      <c r="B18" s="341">
        <f>B6*B17</f>
        <v>6250</v>
      </c>
      <c r="C18" s="206"/>
      <c r="D18" s="206"/>
      <c r="E18" s="206"/>
    </row>
    <row r="19" spans="1:5" ht="13.5" customHeight="1" x14ac:dyDescent="0.3">
      <c r="A19" s="233"/>
      <c r="B19" s="212"/>
      <c r="C19" s="206"/>
      <c r="D19" s="206"/>
      <c r="E19" s="206"/>
    </row>
    <row r="20" spans="1:5" ht="13.5" customHeight="1" x14ac:dyDescent="0.3">
      <c r="A20" s="228" t="s">
        <v>512</v>
      </c>
      <c r="B20" s="213" t="s">
        <v>419</v>
      </c>
      <c r="C20" s="214" t="s">
        <v>420</v>
      </c>
      <c r="D20" s="215" t="s">
        <v>421</v>
      </c>
      <c r="E20" s="216" t="s">
        <v>116</v>
      </c>
    </row>
    <row r="21" spans="1:5" ht="13.5" customHeight="1" x14ac:dyDescent="0.3">
      <c r="A21" s="234" t="s">
        <v>422</v>
      </c>
      <c r="B21" s="217">
        <f>B18</f>
        <v>6250</v>
      </c>
      <c r="C21" s="217">
        <f>(B8-B10)*B15*D3</f>
        <v>0</v>
      </c>
      <c r="D21" s="218" t="e">
        <f>B11*B14*D3</f>
        <v>#DIV/0!</v>
      </c>
      <c r="E21" s="218" t="e">
        <f>B21-C21+D21</f>
        <v>#DIV/0!</v>
      </c>
    </row>
    <row r="22" spans="1:5" ht="13.5" customHeight="1" x14ac:dyDescent="0.3">
      <c r="A22" s="234" t="s">
        <v>423</v>
      </c>
      <c r="B22" s="217">
        <f>B21/D3/12</f>
        <v>26.041666666666668</v>
      </c>
      <c r="C22" s="217">
        <f>C21/D3/12</f>
        <v>0</v>
      </c>
      <c r="D22" s="218" t="e">
        <f>D21/D3/12</f>
        <v>#DIV/0!</v>
      </c>
      <c r="E22" s="218" t="e">
        <f>B22-C22+D22</f>
        <v>#DIV/0!</v>
      </c>
    </row>
    <row r="23" spans="1:5" ht="13.5" customHeight="1" x14ac:dyDescent="0.3">
      <c r="A23" s="233"/>
      <c r="B23" s="219"/>
      <c r="C23" s="205"/>
      <c r="D23" s="206"/>
      <c r="E23" s="206"/>
    </row>
    <row r="24" spans="1:5" ht="13.5" customHeight="1" x14ac:dyDescent="0.3">
      <c r="A24" s="228" t="s">
        <v>513</v>
      </c>
      <c r="B24" s="213" t="s">
        <v>419</v>
      </c>
      <c r="C24" s="214" t="s">
        <v>420</v>
      </c>
      <c r="D24" s="215" t="s">
        <v>421</v>
      </c>
      <c r="E24" s="216" t="s">
        <v>116</v>
      </c>
    </row>
    <row r="25" spans="1:5" ht="13.5" customHeight="1" x14ac:dyDescent="0.3">
      <c r="A25" s="234" t="s">
        <v>425</v>
      </c>
      <c r="B25" s="217">
        <v>0</v>
      </c>
      <c r="C25" s="220" t="e">
        <f>(B13-B15)*B23*D9</f>
        <v>#DIV/0!</v>
      </c>
      <c r="D25" s="218" t="e">
        <f>B9*B14*D3</f>
        <v>#DIV/0!</v>
      </c>
      <c r="E25" s="218" t="e">
        <f>B25-C25+D25</f>
        <v>#DIV/0!</v>
      </c>
    </row>
    <row r="26" spans="1:5" ht="13.5" customHeight="1" x14ac:dyDescent="0.3">
      <c r="A26" s="234" t="s">
        <v>423</v>
      </c>
      <c r="B26" s="217">
        <f>B25/D3/12</f>
        <v>0</v>
      </c>
      <c r="C26" s="220" t="e">
        <f>C25/D3/12</f>
        <v>#DIV/0!</v>
      </c>
      <c r="D26" s="218" t="e">
        <f>D25/D3/12</f>
        <v>#DIV/0!</v>
      </c>
      <c r="E26" s="218" t="e">
        <f>B26-C26+D26</f>
        <v>#DIV/0!</v>
      </c>
    </row>
    <row r="27" spans="1:5" ht="13.5" customHeight="1" thickBot="1" x14ac:dyDescent="0.35">
      <c r="A27" s="353"/>
      <c r="B27" s="354"/>
      <c r="C27" s="355"/>
      <c r="D27" s="356"/>
      <c r="E27" s="356"/>
    </row>
    <row r="28" spans="1:5" ht="13.5" customHeight="1" x14ac:dyDescent="0.3">
      <c r="A28" s="370" t="s">
        <v>515</v>
      </c>
      <c r="B28" s="361" t="s">
        <v>419</v>
      </c>
      <c r="C28" s="362" t="s">
        <v>511</v>
      </c>
      <c r="D28" s="363" t="s">
        <v>510</v>
      </c>
      <c r="E28" s="364" t="s">
        <v>429</v>
      </c>
    </row>
    <row r="29" spans="1:5" ht="13.5" customHeight="1" thickBot="1" x14ac:dyDescent="0.35">
      <c r="A29" s="365"/>
      <c r="B29" s="366">
        <f>B18</f>
        <v>6250</v>
      </c>
      <c r="C29" s="367">
        <f>B10</f>
        <v>9750</v>
      </c>
      <c r="D29" s="368" t="e">
        <f>C29*B14</f>
        <v>#DIV/0!</v>
      </c>
      <c r="E29" s="369" t="e">
        <f>B29/D29</f>
        <v>#DIV/0!</v>
      </c>
    </row>
    <row r="30" spans="1:5" ht="13.5" customHeight="1" x14ac:dyDescent="0.3">
      <c r="A30" s="357"/>
      <c r="B30" s="358"/>
      <c r="C30" s="359"/>
      <c r="D30" s="360"/>
      <c r="E30" s="360"/>
    </row>
    <row r="31" spans="1:5" ht="19.5" customHeight="1" x14ac:dyDescent="0.4">
      <c r="A31" s="235" t="s">
        <v>426</v>
      </c>
      <c r="B31" s="222"/>
      <c r="C31" s="205"/>
      <c r="D31" s="206"/>
      <c r="E31" s="218"/>
    </row>
    <row r="32" spans="1:5" ht="19.5" customHeight="1" x14ac:dyDescent="0.4">
      <c r="A32" s="234" t="s">
        <v>425</v>
      </c>
      <c r="B32" s="223" t="e">
        <f>E25-E21</f>
        <v>#DIV/0!</v>
      </c>
      <c r="C32" s="205"/>
      <c r="D32" s="206"/>
      <c r="E32" s="206"/>
    </row>
    <row r="33" spans="1:5" ht="19.5" customHeight="1" x14ac:dyDescent="0.4">
      <c r="A33" s="234" t="s">
        <v>423</v>
      </c>
      <c r="B33" s="223" t="e">
        <f>B32/D3/12</f>
        <v>#DIV/0!</v>
      </c>
      <c r="C33" s="205"/>
      <c r="D33" s="206"/>
      <c r="E33" s="206"/>
    </row>
    <row r="34" spans="1:5" ht="19.5" customHeight="1" x14ac:dyDescent="0.4">
      <c r="A34" s="235" t="s">
        <v>514</v>
      </c>
      <c r="B34" s="222"/>
      <c r="C34" s="205"/>
      <c r="D34" s="206"/>
      <c r="E34" s="206"/>
    </row>
    <row r="35" spans="1:5" ht="19.5" customHeight="1" x14ac:dyDescent="0.4">
      <c r="A35" s="234" t="s">
        <v>428</v>
      </c>
      <c r="B35" s="223" t="e">
        <f>B18/B33</f>
        <v>#DIV/0!</v>
      </c>
      <c r="C35" s="205"/>
      <c r="D35" s="206"/>
      <c r="E35" s="206"/>
    </row>
    <row r="36" spans="1:5" ht="19.5" customHeight="1" x14ac:dyDescent="0.4">
      <c r="A36" s="234" t="s">
        <v>429</v>
      </c>
      <c r="B36" s="223" t="e">
        <f>B35/12</f>
        <v>#DIV/0!</v>
      </c>
      <c r="C36" s="205"/>
      <c r="D36" s="206"/>
      <c r="E36" s="206"/>
    </row>
  </sheetData>
  <pageMargins left="1" right="1" top="1" bottom="1" header="0.25" footer="0.25"/>
  <pageSetup orientation="portrait" r:id="rId1"/>
  <headerFooter>
    <oddFooter>&amp;C&amp;"Helvetica Neue,Regular"&amp;12&amp;K000000&amp;P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DAF68-5FB1-45AB-BFE6-571FF586CA45}">
  <sheetPr>
    <pageSetUpPr fitToPage="1"/>
  </sheetPr>
  <dimension ref="A1:G36"/>
  <sheetViews>
    <sheetView showGridLines="0" zoomScale="90" zoomScaleNormal="90" workbookViewId="0">
      <pane xSplit="1" ySplit="1" topLeftCell="B12" activePane="bottomRight" state="frozen"/>
      <selection activeCell="C6" sqref="C6"/>
      <selection pane="topRight" activeCell="C6" sqref="C6"/>
      <selection pane="bottomLeft" activeCell="C6" sqref="C6"/>
      <selection pane="bottomRight" activeCell="C6" sqref="C6"/>
    </sheetView>
  </sheetViews>
  <sheetFormatPr baseColWidth="10" defaultColWidth="15" defaultRowHeight="15.5" customHeight="1" x14ac:dyDescent="0.3"/>
  <cols>
    <col min="1" max="1" width="62.6640625" style="236" customWidth="1"/>
    <col min="2" max="2" width="21.1640625" style="201" customWidth="1"/>
    <col min="3" max="4" width="23.6640625" style="201" customWidth="1"/>
    <col min="5" max="5" width="18.6640625" style="201" customWidth="1"/>
    <col min="6" max="6" width="15" style="201" customWidth="1"/>
    <col min="7" max="16384" width="15" style="201"/>
  </cols>
  <sheetData>
    <row r="1" spans="1:5" ht="13" customHeight="1" x14ac:dyDescent="0.3">
      <c r="A1" s="226"/>
      <c r="B1" s="200"/>
      <c r="C1" s="200"/>
      <c r="D1" s="200"/>
      <c r="E1" s="200"/>
    </row>
    <row r="2" spans="1:5" ht="13.5" customHeight="1" x14ac:dyDescent="0.3">
      <c r="A2" s="227"/>
      <c r="B2" s="202"/>
      <c r="C2" s="203"/>
      <c r="D2" s="349" t="s">
        <v>403</v>
      </c>
      <c r="E2" s="203"/>
    </row>
    <row r="3" spans="1:5" ht="13.5" customHeight="1" x14ac:dyDescent="0.3">
      <c r="A3" s="228" t="s">
        <v>404</v>
      </c>
      <c r="B3" s="343">
        <v>100</v>
      </c>
      <c r="C3" s="206"/>
      <c r="D3" s="350">
        <v>20</v>
      </c>
      <c r="E3" s="206"/>
    </row>
    <row r="4" spans="1:5" ht="13.5" customHeight="1" x14ac:dyDescent="0.3">
      <c r="A4" s="228" t="s">
        <v>405</v>
      </c>
      <c r="B4" s="344">
        <v>0</v>
      </c>
      <c r="C4" s="206"/>
      <c r="D4" s="206"/>
      <c r="E4" s="206"/>
    </row>
    <row r="5" spans="1:5" ht="13.5" customHeight="1" x14ac:dyDescent="0.3">
      <c r="A5" s="229" t="s">
        <v>406</v>
      </c>
      <c r="B5" s="340" t="str">
        <f>Datos!J9</f>
        <v>Arequipa</v>
      </c>
      <c r="C5" s="206"/>
      <c r="D5" s="206"/>
      <c r="E5" s="206"/>
    </row>
    <row r="6" spans="1:5" ht="13.5" customHeight="1" x14ac:dyDescent="0.3">
      <c r="A6" s="229" t="s">
        <v>407</v>
      </c>
      <c r="B6" s="345">
        <v>15</v>
      </c>
      <c r="C6" s="208"/>
      <c r="D6" s="206"/>
      <c r="E6" s="206"/>
    </row>
    <row r="7" spans="1:5" ht="13.25" customHeight="1" x14ac:dyDescent="0.45">
      <c r="A7" s="230" t="s">
        <v>408</v>
      </c>
      <c r="B7" s="206">
        <f>Datos!K9</f>
        <v>1950</v>
      </c>
      <c r="C7" s="206"/>
      <c r="D7" s="206"/>
      <c r="E7" s="206"/>
    </row>
    <row r="8" spans="1:5" ht="13.5" customHeight="1" x14ac:dyDescent="0.3">
      <c r="A8" s="228" t="s">
        <v>409</v>
      </c>
      <c r="B8" s="346">
        <f>B6*B7</f>
        <v>29250</v>
      </c>
      <c r="C8" s="206"/>
      <c r="D8" s="206"/>
      <c r="E8" s="206"/>
    </row>
    <row r="9" spans="1:5" ht="13.5" customHeight="1" x14ac:dyDescent="0.3">
      <c r="A9" s="228" t="s">
        <v>410</v>
      </c>
      <c r="B9" s="347">
        <f>Hoja1!AQ18</f>
        <v>0</v>
      </c>
      <c r="C9" s="206"/>
      <c r="D9" s="206"/>
      <c r="E9" s="206"/>
    </row>
    <row r="10" spans="1:5" ht="13.5" customHeight="1" x14ac:dyDescent="0.3">
      <c r="A10" s="231" t="s">
        <v>411</v>
      </c>
      <c r="B10" s="341">
        <f>B8</f>
        <v>29250</v>
      </c>
      <c r="C10" s="206"/>
      <c r="D10" s="206"/>
      <c r="E10" s="206"/>
    </row>
    <row r="11" spans="1:5" ht="13.25" customHeight="1" x14ac:dyDescent="0.3">
      <c r="A11" s="232" t="s">
        <v>412</v>
      </c>
      <c r="B11" s="209">
        <f>B9-B10</f>
        <v>-29250</v>
      </c>
      <c r="C11" s="206"/>
      <c r="D11" s="206"/>
      <c r="E11" s="206"/>
    </row>
    <row r="12" spans="1:5" ht="13.25" customHeight="1" x14ac:dyDescent="0.3">
      <c r="A12" s="230"/>
      <c r="B12" s="210"/>
      <c r="C12" s="206"/>
      <c r="D12" s="206"/>
      <c r="E12" s="206"/>
    </row>
    <row r="13" spans="1:5" ht="13.5" customHeight="1" x14ac:dyDescent="0.3">
      <c r="A13" s="228" t="s">
        <v>413</v>
      </c>
      <c r="B13" s="348" t="e">
        <f>Hoja1!AT19/'6.Compensación'!C7</f>
        <v>#DIV/0!</v>
      </c>
      <c r="C13" s="206"/>
      <c r="D13" s="206"/>
      <c r="E13" s="206"/>
    </row>
    <row r="14" spans="1:5" ht="13.5" customHeight="1" x14ac:dyDescent="0.3">
      <c r="A14" s="231" t="s">
        <v>414</v>
      </c>
      <c r="B14" s="342" t="e">
        <f>(((B13*POWER((1+(B4/100)),D3)))+B13)/2</f>
        <v>#DIV/0!</v>
      </c>
      <c r="C14" s="206"/>
      <c r="D14" s="206"/>
      <c r="E14" s="206"/>
    </row>
    <row r="15" spans="1:5" ht="13.5" customHeight="1" x14ac:dyDescent="0.3">
      <c r="A15" s="228" t="s">
        <v>415</v>
      </c>
      <c r="B15" s="343">
        <v>0</v>
      </c>
      <c r="C15" s="206"/>
      <c r="D15" s="206"/>
      <c r="E15" s="206"/>
    </row>
    <row r="16" spans="1:5" ht="13.5" customHeight="1" x14ac:dyDescent="0.3">
      <c r="A16" s="228"/>
      <c r="B16" s="211"/>
      <c r="C16" s="206"/>
      <c r="D16" s="206"/>
      <c r="E16" s="206"/>
    </row>
    <row r="17" spans="1:7" ht="13.5" customHeight="1" x14ac:dyDescent="0.45">
      <c r="A17" s="228" t="s">
        <v>416</v>
      </c>
      <c r="B17" s="345">
        <v>1250</v>
      </c>
      <c r="C17" s="206"/>
      <c r="D17" s="206"/>
      <c r="E17" s="206"/>
    </row>
    <row r="18" spans="1:7" ht="13.5" customHeight="1" x14ac:dyDescent="0.3">
      <c r="A18" s="228" t="s">
        <v>417</v>
      </c>
      <c r="B18" s="341">
        <f>B6*B17</f>
        <v>18750</v>
      </c>
      <c r="C18" s="206"/>
      <c r="D18" s="206"/>
      <c r="E18" s="206"/>
    </row>
    <row r="19" spans="1:7" ht="13.5" customHeight="1" x14ac:dyDescent="0.3">
      <c r="A19" s="233"/>
      <c r="B19" s="212"/>
      <c r="C19" s="206"/>
      <c r="D19" s="206"/>
      <c r="E19" s="206"/>
    </row>
    <row r="20" spans="1:7" ht="13.5" customHeight="1" x14ac:dyDescent="0.3">
      <c r="A20" s="228" t="s">
        <v>418</v>
      </c>
      <c r="B20" s="213" t="s">
        <v>419</v>
      </c>
      <c r="C20" s="214" t="s">
        <v>420</v>
      </c>
      <c r="D20" s="215" t="s">
        <v>421</v>
      </c>
      <c r="E20" s="216" t="s">
        <v>116</v>
      </c>
    </row>
    <row r="21" spans="1:7" ht="13.5" customHeight="1" x14ac:dyDescent="0.3">
      <c r="A21" s="234" t="s">
        <v>422</v>
      </c>
      <c r="B21" s="217">
        <f>B18</f>
        <v>18750</v>
      </c>
      <c r="C21" s="217">
        <f>(B8-B10)*B15*D3</f>
        <v>0</v>
      </c>
      <c r="D21" s="218" t="e">
        <f>B11*B14*D3</f>
        <v>#DIV/0!</v>
      </c>
      <c r="E21" s="218" t="e">
        <f>B21-C21+D21</f>
        <v>#DIV/0!</v>
      </c>
    </row>
    <row r="22" spans="1:7" ht="13.5" customHeight="1" x14ac:dyDescent="0.3">
      <c r="A22" s="234" t="s">
        <v>423</v>
      </c>
      <c r="B22" s="217">
        <f>B21/D3/12</f>
        <v>78.125</v>
      </c>
      <c r="C22" s="217">
        <f>C21/D3/12</f>
        <v>0</v>
      </c>
      <c r="D22" s="218" t="e">
        <f>D21/D3/12</f>
        <v>#DIV/0!</v>
      </c>
      <c r="E22" s="218" t="e">
        <f>B22-C22+D22</f>
        <v>#DIV/0!</v>
      </c>
    </row>
    <row r="23" spans="1:7" ht="13.5" customHeight="1" x14ac:dyDescent="0.3">
      <c r="A23" s="233"/>
      <c r="B23" s="219"/>
      <c r="C23" s="205"/>
      <c r="D23" s="206"/>
      <c r="E23" s="206"/>
    </row>
    <row r="24" spans="1:7" ht="13.5" customHeight="1" x14ac:dyDescent="0.3">
      <c r="A24" s="228" t="s">
        <v>424</v>
      </c>
      <c r="B24" s="213" t="s">
        <v>419</v>
      </c>
      <c r="C24" s="214" t="s">
        <v>420</v>
      </c>
      <c r="D24" s="215" t="s">
        <v>421</v>
      </c>
      <c r="E24" s="216" t="s">
        <v>116</v>
      </c>
    </row>
    <row r="25" spans="1:7" ht="13.5" customHeight="1" x14ac:dyDescent="0.3">
      <c r="A25" s="234" t="s">
        <v>425</v>
      </c>
      <c r="B25" s="217">
        <v>0</v>
      </c>
      <c r="C25" s="220" t="e">
        <f>(B13-B15)*B23*D9</f>
        <v>#DIV/0!</v>
      </c>
      <c r="D25" s="218" t="e">
        <f>B9*B14*D3</f>
        <v>#DIV/0!</v>
      </c>
      <c r="E25" s="218" t="e">
        <f>B25-C25+D25</f>
        <v>#DIV/0!</v>
      </c>
    </row>
    <row r="26" spans="1:7" ht="13.5" customHeight="1" x14ac:dyDescent="0.3">
      <c r="A26" s="234" t="s">
        <v>423</v>
      </c>
      <c r="B26" s="217">
        <f>B25/D3/12</f>
        <v>0</v>
      </c>
      <c r="C26" s="220" t="e">
        <f>C25/D3/12</f>
        <v>#DIV/0!</v>
      </c>
      <c r="D26" s="218" t="e">
        <f>D25/D3/12</f>
        <v>#DIV/0!</v>
      </c>
      <c r="E26" s="218" t="e">
        <f>B26-C26+D26</f>
        <v>#DIV/0!</v>
      </c>
      <c r="G26" s="351"/>
    </row>
    <row r="27" spans="1:7" ht="13.5" customHeight="1" thickBot="1" x14ac:dyDescent="0.35">
      <c r="A27" s="234"/>
      <c r="B27" s="217"/>
      <c r="C27" s="220"/>
      <c r="D27" s="218"/>
      <c r="E27" s="218"/>
      <c r="G27" s="351"/>
    </row>
    <row r="28" spans="1:7" ht="13.5" customHeight="1" x14ac:dyDescent="0.3">
      <c r="A28" s="370" t="s">
        <v>515</v>
      </c>
      <c r="B28" s="361" t="s">
        <v>419</v>
      </c>
      <c r="C28" s="362" t="s">
        <v>511</v>
      </c>
      <c r="D28" s="363" t="s">
        <v>510</v>
      </c>
      <c r="E28" s="364" t="s">
        <v>429</v>
      </c>
      <c r="G28" s="351"/>
    </row>
    <row r="29" spans="1:7" ht="13.5" customHeight="1" thickBot="1" x14ac:dyDescent="0.35">
      <c r="A29" s="365"/>
      <c r="B29" s="366">
        <f>B18</f>
        <v>18750</v>
      </c>
      <c r="C29" s="367">
        <f>B10</f>
        <v>29250</v>
      </c>
      <c r="D29" s="368" t="e">
        <f>C29*B14</f>
        <v>#DIV/0!</v>
      </c>
      <c r="E29" s="369" t="e">
        <f>B29/D29</f>
        <v>#DIV/0!</v>
      </c>
      <c r="G29" s="351"/>
    </row>
    <row r="30" spans="1:7" ht="13.5" customHeight="1" x14ac:dyDescent="0.3">
      <c r="A30" s="233"/>
      <c r="B30" s="221"/>
      <c r="C30" s="205"/>
      <c r="D30" s="206"/>
      <c r="E30" s="206"/>
    </row>
    <row r="31" spans="1:7" ht="19.5" customHeight="1" x14ac:dyDescent="0.4">
      <c r="A31" s="235" t="s">
        <v>426</v>
      </c>
      <c r="B31" s="222"/>
      <c r="C31" s="205"/>
      <c r="D31" s="206"/>
      <c r="E31" s="218"/>
    </row>
    <row r="32" spans="1:7" ht="19.5" customHeight="1" x14ac:dyDescent="0.4">
      <c r="A32" s="234" t="s">
        <v>425</v>
      </c>
      <c r="B32" s="223" t="e">
        <f>E25-E21</f>
        <v>#DIV/0!</v>
      </c>
      <c r="C32" s="205"/>
      <c r="D32" s="206"/>
      <c r="E32" s="206"/>
    </row>
    <row r="33" spans="1:5" ht="19.5" customHeight="1" x14ac:dyDescent="0.4">
      <c r="A33" s="234" t="s">
        <v>423</v>
      </c>
      <c r="B33" s="223" t="e">
        <f>B32/D3/12</f>
        <v>#DIV/0!</v>
      </c>
      <c r="C33" s="205"/>
      <c r="D33" s="206"/>
      <c r="E33" s="206"/>
    </row>
    <row r="34" spans="1:5" ht="19.5" customHeight="1" x14ac:dyDescent="0.4">
      <c r="A34" s="235" t="s">
        <v>427</v>
      </c>
      <c r="B34" s="222"/>
      <c r="C34" s="205"/>
      <c r="D34" s="206"/>
      <c r="E34" s="206"/>
    </row>
    <row r="35" spans="1:5" ht="19.5" customHeight="1" x14ac:dyDescent="0.4">
      <c r="A35" s="234" t="s">
        <v>428</v>
      </c>
      <c r="B35" s="223" t="e">
        <f>B18/B33</f>
        <v>#DIV/0!</v>
      </c>
      <c r="C35" s="205"/>
      <c r="D35" s="206"/>
      <c r="E35" s="206"/>
    </row>
    <row r="36" spans="1:5" ht="19.5" customHeight="1" x14ac:dyDescent="0.4">
      <c r="A36" s="234" t="s">
        <v>429</v>
      </c>
      <c r="B36" s="223" t="e">
        <f>B35/12</f>
        <v>#DIV/0!</v>
      </c>
      <c r="C36" s="205"/>
      <c r="D36" s="206"/>
      <c r="E36" s="206"/>
    </row>
  </sheetData>
  <pageMargins left="1" right="1" top="1" bottom="1" header="0.25" footer="0.25"/>
  <pageSetup orientation="portrait" r:id="rId1"/>
  <headerFooter>
    <oddFooter>&amp;C&amp;"Helvetica Neue,Regular"&amp;12&amp;K000000&amp;P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02722-CB8E-4E65-B2A9-F8045FA70545}">
  <sheetPr>
    <pageSetUpPr fitToPage="1"/>
  </sheetPr>
  <dimension ref="A1:E36"/>
  <sheetViews>
    <sheetView showGridLines="0" zoomScaleNormal="100" workbookViewId="0">
      <pane xSplit="1" ySplit="1" topLeftCell="B22" activePane="bottomRight" state="frozen"/>
      <selection activeCell="C6" sqref="C6"/>
      <selection pane="topRight" activeCell="C6" sqref="C6"/>
      <selection pane="bottomLeft" activeCell="C6" sqref="C6"/>
      <selection pane="bottomRight" activeCell="C6" sqref="C6"/>
    </sheetView>
  </sheetViews>
  <sheetFormatPr baseColWidth="10" defaultColWidth="15" defaultRowHeight="15.5" customHeight="1" x14ac:dyDescent="0.3"/>
  <cols>
    <col min="1" max="1" width="62.6640625" style="236" customWidth="1"/>
    <col min="2" max="2" width="21.1640625" style="201" customWidth="1"/>
    <col min="3" max="4" width="23.6640625" style="201" customWidth="1"/>
    <col min="5" max="5" width="18.6640625" style="201" customWidth="1"/>
    <col min="6" max="6" width="15" style="201" customWidth="1"/>
    <col min="7" max="16384" width="15" style="201"/>
  </cols>
  <sheetData>
    <row r="1" spans="1:5" ht="13" customHeight="1" x14ac:dyDescent="0.3">
      <c r="A1" s="226"/>
      <c r="B1" s="200"/>
      <c r="C1" s="200"/>
      <c r="D1" s="200"/>
      <c r="E1" s="200"/>
    </row>
    <row r="2" spans="1:5" ht="13.5" customHeight="1" x14ac:dyDescent="0.3">
      <c r="A2" s="227"/>
      <c r="B2" s="202"/>
      <c r="C2" s="203"/>
      <c r="D2" s="349" t="s">
        <v>403</v>
      </c>
      <c r="E2" s="203"/>
    </row>
    <row r="3" spans="1:5" ht="13.5" customHeight="1" x14ac:dyDescent="0.3">
      <c r="A3" s="228" t="s">
        <v>404</v>
      </c>
      <c r="B3" s="343">
        <v>100</v>
      </c>
      <c r="C3" s="206"/>
      <c r="D3" s="350">
        <v>20</v>
      </c>
      <c r="E3" s="206"/>
    </row>
    <row r="4" spans="1:5" ht="13.5" customHeight="1" x14ac:dyDescent="0.3">
      <c r="A4" s="228" t="s">
        <v>405</v>
      </c>
      <c r="B4" s="344">
        <v>0</v>
      </c>
      <c r="C4" s="206"/>
      <c r="D4" s="206"/>
      <c r="E4" s="206"/>
    </row>
    <row r="5" spans="1:5" ht="13.5" customHeight="1" x14ac:dyDescent="0.3">
      <c r="A5" s="229"/>
      <c r="B5" s="340" t="str">
        <f>Datos!J9</f>
        <v>Arequipa</v>
      </c>
      <c r="C5" s="206"/>
      <c r="D5" s="206"/>
      <c r="E5" s="206"/>
    </row>
    <row r="6" spans="1:5" ht="13.5" customHeight="1" x14ac:dyDescent="0.3">
      <c r="A6" s="229" t="s">
        <v>407</v>
      </c>
      <c r="B6" s="345">
        <v>30</v>
      </c>
      <c r="C6" s="206"/>
      <c r="D6" s="206"/>
      <c r="E6" s="206"/>
    </row>
    <row r="7" spans="1:5" ht="13.25" customHeight="1" x14ac:dyDescent="0.45">
      <c r="A7" s="230" t="s">
        <v>408</v>
      </c>
      <c r="B7" s="206">
        <f>Datos!K9</f>
        <v>1950</v>
      </c>
      <c r="C7" s="206"/>
      <c r="D7" s="206"/>
      <c r="E7" s="206"/>
    </row>
    <row r="8" spans="1:5" ht="13.5" customHeight="1" x14ac:dyDescent="0.3">
      <c r="A8" s="228" t="s">
        <v>409</v>
      </c>
      <c r="B8" s="346">
        <f>B6*B7</f>
        <v>58500</v>
      </c>
      <c r="C8" s="206"/>
      <c r="D8" s="206"/>
      <c r="E8" s="206"/>
    </row>
    <row r="9" spans="1:5" ht="13.5" customHeight="1" x14ac:dyDescent="0.3">
      <c r="A9" s="228" t="s">
        <v>410</v>
      </c>
      <c r="B9" s="347">
        <f>Hoja1!AQ18</f>
        <v>0</v>
      </c>
      <c r="C9" s="206"/>
      <c r="D9" s="206"/>
      <c r="E9" s="206"/>
    </row>
    <row r="10" spans="1:5" ht="13.5" customHeight="1" x14ac:dyDescent="0.3">
      <c r="A10" s="231" t="s">
        <v>411</v>
      </c>
      <c r="B10" s="341">
        <f>B8</f>
        <v>58500</v>
      </c>
      <c r="C10" s="206"/>
      <c r="D10" s="206"/>
      <c r="E10" s="206"/>
    </row>
    <row r="11" spans="1:5" ht="13.25" customHeight="1" x14ac:dyDescent="0.3">
      <c r="A11" s="232" t="s">
        <v>412</v>
      </c>
      <c r="B11" s="209">
        <f>B9-B10</f>
        <v>-58500</v>
      </c>
      <c r="C11" s="206"/>
      <c r="D11" s="206"/>
      <c r="E11" s="206"/>
    </row>
    <row r="12" spans="1:5" ht="13.25" customHeight="1" x14ac:dyDescent="0.3">
      <c r="A12" s="230"/>
      <c r="B12" s="210"/>
      <c r="C12" s="206"/>
      <c r="D12" s="206"/>
      <c r="E12" s="206"/>
    </row>
    <row r="13" spans="1:5" ht="13.5" customHeight="1" x14ac:dyDescent="0.3">
      <c r="A13" s="228" t="s">
        <v>413</v>
      </c>
      <c r="B13" s="348" t="e">
        <f>Hoja1!AT19/'6.Compensación'!C7</f>
        <v>#DIV/0!</v>
      </c>
      <c r="C13" s="206"/>
      <c r="D13" s="206"/>
      <c r="E13" s="206"/>
    </row>
    <row r="14" spans="1:5" ht="13.5" customHeight="1" x14ac:dyDescent="0.3">
      <c r="A14" s="231" t="s">
        <v>414</v>
      </c>
      <c r="B14" s="342" t="e">
        <f>(((B13*POWER((1+(B4/100)),D3)))+B13)/2</f>
        <v>#DIV/0!</v>
      </c>
      <c r="C14" s="206"/>
      <c r="D14" s="206"/>
      <c r="E14" s="206"/>
    </row>
    <row r="15" spans="1:5" ht="13.5" customHeight="1" x14ac:dyDescent="0.3">
      <c r="A15" s="228" t="s">
        <v>415</v>
      </c>
      <c r="B15" s="204">
        <v>0</v>
      </c>
      <c r="C15" s="206"/>
      <c r="D15" s="206"/>
      <c r="E15" s="206"/>
    </row>
    <row r="16" spans="1:5" ht="13.5" customHeight="1" x14ac:dyDescent="0.3">
      <c r="A16" s="228"/>
      <c r="B16" s="211"/>
      <c r="C16" s="206"/>
      <c r="D16" s="206"/>
      <c r="E16" s="206"/>
    </row>
    <row r="17" spans="1:5" ht="13.5" customHeight="1" x14ac:dyDescent="0.45">
      <c r="A17" s="228" t="s">
        <v>416</v>
      </c>
      <c r="B17" s="207">
        <v>1250</v>
      </c>
      <c r="C17" s="206"/>
      <c r="D17" s="206"/>
      <c r="E17" s="206"/>
    </row>
    <row r="18" spans="1:5" ht="13.5" customHeight="1" x14ac:dyDescent="0.3">
      <c r="A18" s="228" t="s">
        <v>417</v>
      </c>
      <c r="B18" s="341">
        <f>B6*B17</f>
        <v>37500</v>
      </c>
      <c r="C18" s="206"/>
      <c r="D18" s="206"/>
      <c r="E18" s="206"/>
    </row>
    <row r="19" spans="1:5" ht="13.5" customHeight="1" x14ac:dyDescent="0.3">
      <c r="A19" s="233"/>
      <c r="B19" s="212"/>
      <c r="C19" s="206"/>
      <c r="D19" s="206"/>
      <c r="E19" s="206"/>
    </row>
    <row r="20" spans="1:5" ht="13.5" customHeight="1" x14ac:dyDescent="0.3">
      <c r="A20" s="228" t="s">
        <v>418</v>
      </c>
      <c r="B20" s="213" t="s">
        <v>419</v>
      </c>
      <c r="C20" s="214" t="s">
        <v>420</v>
      </c>
      <c r="D20" s="215" t="s">
        <v>421</v>
      </c>
      <c r="E20" s="216" t="s">
        <v>116</v>
      </c>
    </row>
    <row r="21" spans="1:5" ht="13.5" customHeight="1" x14ac:dyDescent="0.3">
      <c r="A21" s="234" t="s">
        <v>422</v>
      </c>
      <c r="B21" s="217">
        <f>B18</f>
        <v>37500</v>
      </c>
      <c r="C21" s="217">
        <f>(B8-B10)*B15*D3</f>
        <v>0</v>
      </c>
      <c r="D21" s="218" t="e">
        <f>B14*B11*D3</f>
        <v>#DIV/0!</v>
      </c>
      <c r="E21" s="218" t="e">
        <f>B21-C21+D21</f>
        <v>#DIV/0!</v>
      </c>
    </row>
    <row r="22" spans="1:5" ht="13.5" customHeight="1" x14ac:dyDescent="0.3">
      <c r="A22" s="234" t="s">
        <v>423</v>
      </c>
      <c r="B22" s="217">
        <f>B21/D3/12</f>
        <v>156.25</v>
      </c>
      <c r="C22" s="217">
        <f>C21/D3/12</f>
        <v>0</v>
      </c>
      <c r="D22" s="218" t="e">
        <f>D21/D3/12</f>
        <v>#DIV/0!</v>
      </c>
      <c r="E22" s="218" t="e">
        <f>B22-C22+D22</f>
        <v>#DIV/0!</v>
      </c>
    </row>
    <row r="23" spans="1:5" ht="13.5" customHeight="1" x14ac:dyDescent="0.3">
      <c r="A23" s="233"/>
      <c r="B23" s="219"/>
      <c r="C23" s="205"/>
      <c r="D23" s="206"/>
      <c r="E23" s="206"/>
    </row>
    <row r="24" spans="1:5" ht="13.5" customHeight="1" x14ac:dyDescent="0.3">
      <c r="A24" s="228" t="s">
        <v>424</v>
      </c>
      <c r="B24" s="213" t="s">
        <v>419</v>
      </c>
      <c r="C24" s="214" t="s">
        <v>420</v>
      </c>
      <c r="D24" s="215" t="s">
        <v>421</v>
      </c>
      <c r="E24" s="216" t="s">
        <v>116</v>
      </c>
    </row>
    <row r="25" spans="1:5" ht="13.5" customHeight="1" x14ac:dyDescent="0.3">
      <c r="A25" s="234" t="s">
        <v>425</v>
      </c>
      <c r="B25" s="217">
        <v>0</v>
      </c>
      <c r="C25" s="220" t="e">
        <f>(B13-B15)*B23*D9</f>
        <v>#DIV/0!</v>
      </c>
      <c r="D25" s="218" t="e">
        <f>B9*B14*D3</f>
        <v>#DIV/0!</v>
      </c>
      <c r="E25" s="218" t="e">
        <f>B25-C25+D25</f>
        <v>#DIV/0!</v>
      </c>
    </row>
    <row r="26" spans="1:5" ht="13.5" customHeight="1" x14ac:dyDescent="0.3">
      <c r="A26" s="234" t="s">
        <v>423</v>
      </c>
      <c r="B26" s="217">
        <f>B25/D3/12</f>
        <v>0</v>
      </c>
      <c r="C26" s="220" t="e">
        <f>C25/D3/12</f>
        <v>#DIV/0!</v>
      </c>
      <c r="D26" s="218" t="e">
        <f>D25/D3/12</f>
        <v>#DIV/0!</v>
      </c>
      <c r="E26" s="218" t="e">
        <f>B26-C26+D26</f>
        <v>#DIV/0!</v>
      </c>
    </row>
    <row r="27" spans="1:5" ht="13.5" customHeight="1" thickBot="1" x14ac:dyDescent="0.35">
      <c r="A27" s="234"/>
      <c r="B27" s="217"/>
      <c r="C27" s="220"/>
      <c r="D27" s="218"/>
      <c r="E27" s="218"/>
    </row>
    <row r="28" spans="1:5" ht="13.5" customHeight="1" x14ac:dyDescent="0.3">
      <c r="A28" s="370" t="s">
        <v>515</v>
      </c>
      <c r="B28" s="361" t="s">
        <v>419</v>
      </c>
      <c r="C28" s="362" t="s">
        <v>511</v>
      </c>
      <c r="D28" s="363" t="s">
        <v>510</v>
      </c>
      <c r="E28" s="364" t="s">
        <v>429</v>
      </c>
    </row>
    <row r="29" spans="1:5" ht="13.5" customHeight="1" thickBot="1" x14ac:dyDescent="0.35">
      <c r="A29" s="365"/>
      <c r="B29" s="366">
        <f>B18</f>
        <v>37500</v>
      </c>
      <c r="C29" s="367">
        <f>B10</f>
        <v>58500</v>
      </c>
      <c r="D29" s="368" t="e">
        <f>C29*B14</f>
        <v>#DIV/0!</v>
      </c>
      <c r="E29" s="369" t="e">
        <f>B29/D29</f>
        <v>#DIV/0!</v>
      </c>
    </row>
    <row r="30" spans="1:5" ht="13.5" customHeight="1" x14ac:dyDescent="0.3">
      <c r="A30" s="233"/>
      <c r="B30" s="221"/>
      <c r="C30" s="205"/>
      <c r="D30" s="206"/>
      <c r="E30" s="206"/>
    </row>
    <row r="31" spans="1:5" ht="19.5" customHeight="1" x14ac:dyDescent="0.4">
      <c r="A31" s="235" t="s">
        <v>426</v>
      </c>
      <c r="B31" s="222"/>
      <c r="C31" s="205"/>
      <c r="D31" s="206"/>
      <c r="E31" s="218"/>
    </row>
    <row r="32" spans="1:5" ht="19.5" customHeight="1" x14ac:dyDescent="0.4">
      <c r="A32" s="234" t="s">
        <v>425</v>
      </c>
      <c r="B32" s="223" t="e">
        <f>E25-E21</f>
        <v>#DIV/0!</v>
      </c>
      <c r="C32" s="205"/>
      <c r="D32" s="206"/>
      <c r="E32" s="206"/>
    </row>
    <row r="33" spans="1:5" ht="19.5" customHeight="1" x14ac:dyDescent="0.4">
      <c r="A33" s="234" t="s">
        <v>423</v>
      </c>
      <c r="B33" s="223" t="e">
        <f>B32/D3/12</f>
        <v>#DIV/0!</v>
      </c>
      <c r="C33" s="205"/>
      <c r="D33" s="206"/>
      <c r="E33" s="206"/>
    </row>
    <row r="34" spans="1:5" ht="19.5" customHeight="1" x14ac:dyDescent="0.4">
      <c r="A34" s="235" t="s">
        <v>427</v>
      </c>
      <c r="B34" s="222"/>
      <c r="C34" s="205"/>
      <c r="D34" s="206"/>
      <c r="E34" s="206"/>
    </row>
    <row r="35" spans="1:5" ht="19.5" customHeight="1" x14ac:dyDescent="0.4">
      <c r="A35" s="234" t="s">
        <v>428</v>
      </c>
      <c r="B35" s="223" t="e">
        <f>B18/B33</f>
        <v>#DIV/0!</v>
      </c>
      <c r="C35" s="205"/>
      <c r="D35" s="206"/>
      <c r="E35" s="206"/>
    </row>
    <row r="36" spans="1:5" ht="19.5" customHeight="1" x14ac:dyDescent="0.4">
      <c r="A36" s="234" t="s">
        <v>429</v>
      </c>
      <c r="B36" s="223" t="e">
        <f>B35/12</f>
        <v>#DIV/0!</v>
      </c>
      <c r="C36" s="205"/>
      <c r="D36" s="206"/>
      <c r="E36" s="206"/>
    </row>
  </sheetData>
  <pageMargins left="1" right="1" top="1" bottom="1" header="0.25" footer="0.25"/>
  <pageSetup orientation="portrait" r:id="rId1"/>
  <headerFooter>
    <oddFooter>&amp;C&amp;"Helvetica Neue,Regular"&amp;12&amp;K000000&amp;P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C6493-6695-4C33-9A38-36035D81DF59}">
  <dimension ref="B1:L19"/>
  <sheetViews>
    <sheetView topLeftCell="A7" workbookViewId="0">
      <selection activeCell="K17" sqref="K17"/>
    </sheetView>
  </sheetViews>
  <sheetFormatPr baseColWidth="10" defaultColWidth="10.6640625" defaultRowHeight="14.5" x14ac:dyDescent="0.35"/>
  <cols>
    <col min="1" max="4" width="10.6640625" style="224"/>
    <col min="5" max="5" width="12.1640625" style="224" customWidth="1"/>
    <col min="6" max="6" width="13" style="224" customWidth="1"/>
    <col min="7" max="8" width="10.6640625" style="224"/>
    <col min="9" max="9" width="12.33203125" style="224" customWidth="1"/>
    <col min="10" max="10" width="10.6640625" style="224"/>
    <col min="11" max="11" width="11.9140625" style="224" customWidth="1"/>
    <col min="12" max="12" width="14.83203125" style="224" customWidth="1"/>
    <col min="13" max="16384" width="10.6640625" style="224"/>
  </cols>
  <sheetData>
    <row r="1" spans="2:12" x14ac:dyDescent="0.35">
      <c r="H1" s="313" t="s">
        <v>221</v>
      </c>
      <c r="I1" s="224">
        <v>1600</v>
      </c>
    </row>
    <row r="2" spans="2:12" x14ac:dyDescent="0.35">
      <c r="H2" s="313" t="s">
        <v>213</v>
      </c>
      <c r="I2" s="224">
        <v>1150</v>
      </c>
    </row>
    <row r="3" spans="2:12" x14ac:dyDescent="0.35">
      <c r="B3" s="224" t="s">
        <v>406</v>
      </c>
      <c r="C3" s="224" t="s">
        <v>153</v>
      </c>
      <c r="D3" s="224" t="s">
        <v>211</v>
      </c>
      <c r="E3" s="224" t="s">
        <v>364</v>
      </c>
      <c r="F3" s="224" t="s">
        <v>430</v>
      </c>
      <c r="H3" s="140" t="s">
        <v>364</v>
      </c>
      <c r="I3" s="224">
        <v>1550</v>
      </c>
    </row>
    <row r="4" spans="2:12" x14ac:dyDescent="0.35">
      <c r="B4" s="224" t="s">
        <v>153</v>
      </c>
      <c r="C4" s="225">
        <v>1900</v>
      </c>
      <c r="D4" s="225">
        <v>1350</v>
      </c>
      <c r="E4" s="225">
        <v>1500</v>
      </c>
      <c r="F4" s="225">
        <v>1350</v>
      </c>
      <c r="H4" s="140" t="s">
        <v>153</v>
      </c>
      <c r="I4" s="224">
        <v>1950</v>
      </c>
    </row>
    <row r="5" spans="2:12" x14ac:dyDescent="0.35">
      <c r="B5" s="224" t="s">
        <v>211</v>
      </c>
      <c r="C5" s="225">
        <v>2000</v>
      </c>
      <c r="D5" s="225">
        <v>1450</v>
      </c>
      <c r="E5" s="225">
        <v>1600</v>
      </c>
      <c r="F5" s="225">
        <v>1450</v>
      </c>
      <c r="H5" s="140" t="s">
        <v>211</v>
      </c>
      <c r="I5" s="224">
        <v>1400</v>
      </c>
    </row>
    <row r="6" spans="2:12" x14ac:dyDescent="0.35">
      <c r="B6" s="224" t="s">
        <v>364</v>
      </c>
      <c r="H6" s="140" t="s">
        <v>226</v>
      </c>
      <c r="I6" s="224">
        <v>1400</v>
      </c>
    </row>
    <row r="7" spans="2:12" x14ac:dyDescent="0.35">
      <c r="B7" s="224" t="s">
        <v>430</v>
      </c>
      <c r="H7" s="313" t="s">
        <v>482</v>
      </c>
      <c r="I7" s="224">
        <v>1650</v>
      </c>
    </row>
    <row r="8" spans="2:12" x14ac:dyDescent="0.35">
      <c r="H8" s="313" t="s">
        <v>200</v>
      </c>
      <c r="I8" s="224">
        <v>1700</v>
      </c>
    </row>
    <row r="9" spans="2:12" x14ac:dyDescent="0.35">
      <c r="H9" s="313" t="s">
        <v>214</v>
      </c>
      <c r="I9" s="224">
        <v>1150</v>
      </c>
      <c r="J9" s="224" t="str">
        <f>'1.GeneralesEmpresa'!B3</f>
        <v>Arequipa</v>
      </c>
      <c r="K9" s="224">
        <f>_xlfn.XLOOKUP(J9,H1:H10,I1:I10)</f>
        <v>1950</v>
      </c>
    </row>
    <row r="10" spans="2:12" x14ac:dyDescent="0.35">
      <c r="B10" s="224" t="s">
        <v>406</v>
      </c>
      <c r="C10" s="224" t="s">
        <v>153</v>
      </c>
      <c r="D10" s="224" t="s">
        <v>211</v>
      </c>
      <c r="E10" s="224" t="s">
        <v>364</v>
      </c>
      <c r="F10" s="224" t="s">
        <v>430</v>
      </c>
      <c r="H10" s="313" t="s">
        <v>483</v>
      </c>
      <c r="I10" s="224">
        <v>1150</v>
      </c>
    </row>
    <row r="11" spans="2:12" x14ac:dyDescent="0.35">
      <c r="B11" s="224" t="s">
        <v>153</v>
      </c>
      <c r="C11" s="224">
        <v>1900</v>
      </c>
      <c r="D11" s="224">
        <v>1350</v>
      </c>
      <c r="E11" s="224">
        <v>1500</v>
      </c>
      <c r="F11" s="224">
        <v>1350</v>
      </c>
    </row>
    <row r="12" spans="2:12" x14ac:dyDescent="0.35">
      <c r="B12" s="224" t="s">
        <v>211</v>
      </c>
      <c r="C12" s="224">
        <v>2000</v>
      </c>
      <c r="D12" s="224">
        <v>1450</v>
      </c>
      <c r="E12" s="224">
        <v>1600</v>
      </c>
      <c r="F12" s="224">
        <v>1450</v>
      </c>
    </row>
    <row r="13" spans="2:12" x14ac:dyDescent="0.35">
      <c r="B13" s="224" t="s">
        <v>364</v>
      </c>
    </row>
    <row r="14" spans="2:12" x14ac:dyDescent="0.35">
      <c r="B14" s="224" t="s">
        <v>430</v>
      </c>
    </row>
    <row r="16" spans="2:12" ht="43.5" x14ac:dyDescent="0.35">
      <c r="B16" s="237" t="s">
        <v>433</v>
      </c>
      <c r="C16" s="238" t="s">
        <v>431</v>
      </c>
      <c r="D16" s="237" t="s">
        <v>432</v>
      </c>
      <c r="E16" s="237" t="s">
        <v>509</v>
      </c>
      <c r="F16" s="237" t="s">
        <v>434</v>
      </c>
      <c r="H16" s="237" t="s">
        <v>433</v>
      </c>
      <c r="I16" s="238" t="s">
        <v>435</v>
      </c>
      <c r="J16" s="237" t="s">
        <v>432</v>
      </c>
      <c r="K16" s="237" t="s">
        <v>509</v>
      </c>
      <c r="L16" s="237" t="s">
        <v>434</v>
      </c>
    </row>
    <row r="17" spans="2:12" x14ac:dyDescent="0.35">
      <c r="B17" s="239">
        <v>5</v>
      </c>
      <c r="C17" s="240" t="e">
        <f>'5_kWp'!B8/'5_kWp'!B9</f>
        <v>#DIV/0!</v>
      </c>
      <c r="D17" s="241">
        <f>'5_kWp'!B18</f>
        <v>6250</v>
      </c>
      <c r="E17" s="242" t="e">
        <f>'5_kWp'!E29</f>
        <v>#DIV/0!</v>
      </c>
      <c r="F17" s="242" t="e">
        <f>'5_kWp'!B32</f>
        <v>#DIV/0!</v>
      </c>
      <c r="H17" s="239" t="e">
        <f>IF(I17&gt;100%,"-",B17)</f>
        <v>#DIV/0!</v>
      </c>
      <c r="I17" s="240" t="e">
        <f>IF(C17&gt;100%,"-",C17)</f>
        <v>#DIV/0!</v>
      </c>
      <c r="J17" s="241" t="e">
        <f>IF(I17&gt;100%,"-",D17)</f>
        <v>#DIV/0!</v>
      </c>
      <c r="K17" s="242" t="e">
        <f>IF(I17&gt;100%,"-",E17)</f>
        <v>#DIV/0!</v>
      </c>
      <c r="L17" s="242" t="e">
        <f>IF(I17&gt;100%,"-",F17)</f>
        <v>#DIV/0!</v>
      </c>
    </row>
    <row r="18" spans="2:12" x14ac:dyDescent="0.35">
      <c r="B18" s="239">
        <v>15</v>
      </c>
      <c r="C18" s="240" t="e">
        <f>'15_kWp'!B8/'15_kWp'!B9</f>
        <v>#DIV/0!</v>
      </c>
      <c r="D18" s="241">
        <f>'15_kWp'!B18</f>
        <v>18750</v>
      </c>
      <c r="E18" s="242" t="e">
        <f>'15_kWp'!E29</f>
        <v>#DIV/0!</v>
      </c>
      <c r="F18" s="242" t="e">
        <f>'15_kWp'!B32</f>
        <v>#DIV/0!</v>
      </c>
      <c r="H18" s="239" t="e">
        <f t="shared" ref="H18:H19" si="0">IF(I18&gt;100%,"-",B18)</f>
        <v>#DIV/0!</v>
      </c>
      <c r="I18" s="240" t="e">
        <f t="shared" ref="I18:I19" si="1">IF(C18&gt;100%,"-",C18)</f>
        <v>#DIV/0!</v>
      </c>
      <c r="J18" s="241" t="e">
        <f t="shared" ref="J18:J19" si="2">IF(I18&gt;100%,"-",D18)</f>
        <v>#DIV/0!</v>
      </c>
      <c r="K18" s="242" t="e">
        <f t="shared" ref="K18:K19" si="3">IF(I18&gt;100%,"-",E18)</f>
        <v>#DIV/0!</v>
      </c>
      <c r="L18" s="242" t="e">
        <f t="shared" ref="L18:L19" si="4">IF(I18&gt;100%,"-",F18)</f>
        <v>#DIV/0!</v>
      </c>
    </row>
    <row r="19" spans="2:12" x14ac:dyDescent="0.35">
      <c r="B19" s="239">
        <v>30</v>
      </c>
      <c r="C19" s="240" t="e">
        <f>'30_kWp'!B8/'30_kWp'!B9</f>
        <v>#DIV/0!</v>
      </c>
      <c r="D19" s="241">
        <f>'30_kWp'!B18</f>
        <v>37500</v>
      </c>
      <c r="E19" s="242" t="e">
        <f>'30_kWp'!E29</f>
        <v>#DIV/0!</v>
      </c>
      <c r="F19" s="242" t="e">
        <f>'30_kWp'!B32</f>
        <v>#DIV/0!</v>
      </c>
      <c r="H19" s="239" t="e">
        <f t="shared" si="0"/>
        <v>#DIV/0!</v>
      </c>
      <c r="I19" s="240" t="e">
        <f t="shared" si="1"/>
        <v>#DIV/0!</v>
      </c>
      <c r="J19" s="241" t="e">
        <f t="shared" si="2"/>
        <v>#DIV/0!</v>
      </c>
      <c r="K19" s="242" t="e">
        <f t="shared" si="3"/>
        <v>#DIV/0!</v>
      </c>
      <c r="L19" s="242" t="e">
        <f t="shared" si="4"/>
        <v>#DIV/0!</v>
      </c>
    </row>
  </sheetData>
  <pageMargins left="0.7" right="0.7" top="0.78740157499999996" bottom="0.78740157499999996" header="0.3" footer="0.3"/>
  <tableParts count="6">
    <tablePart r:id="rId1"/>
    <tablePart r:id="rId2"/>
    <tablePart r:id="rId3"/>
    <tablePart r:id="rId4"/>
    <tablePart r:id="rId5"/>
    <tablePart r:id="rId6"/>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1B018-963B-4DD1-8863-3552F5050878}">
  <dimension ref="B1:I26"/>
  <sheetViews>
    <sheetView topLeftCell="B14" workbookViewId="0">
      <selection activeCell="C6" sqref="C6"/>
    </sheetView>
  </sheetViews>
  <sheetFormatPr baseColWidth="10" defaultColWidth="10.6640625" defaultRowHeight="14" x14ac:dyDescent="0.3"/>
  <cols>
    <col min="1" max="1" width="5" style="247" customWidth="1"/>
    <col min="2" max="2" width="38.9140625" style="247" customWidth="1"/>
    <col min="3" max="4" width="10.6640625" style="247"/>
    <col min="5" max="5" width="12.83203125" style="247" customWidth="1"/>
    <col min="6" max="6" width="12.5" style="247" customWidth="1"/>
    <col min="7" max="7" width="10.6640625" style="247"/>
    <col min="8" max="8" width="15.4140625" style="247" customWidth="1"/>
    <col min="9" max="9" width="48.6640625" style="247" customWidth="1"/>
    <col min="10" max="16384" width="10.6640625" style="247"/>
  </cols>
  <sheetData>
    <row r="1" spans="2:9" ht="14.5" thickBot="1" x14ac:dyDescent="0.35">
      <c r="B1" s="245" t="s">
        <v>58</v>
      </c>
      <c r="C1" s="246"/>
      <c r="E1" s="245" t="s">
        <v>438</v>
      </c>
      <c r="F1" s="563"/>
      <c r="G1" s="564"/>
    </row>
    <row r="2" spans="2:9" ht="14.5" thickBot="1" x14ac:dyDescent="0.35">
      <c r="B2" s="248"/>
      <c r="E2" s="248"/>
    </row>
    <row r="3" spans="2:9" ht="14.5" thickBot="1" x14ac:dyDescent="0.35">
      <c r="B3" s="249" t="s">
        <v>439</v>
      </c>
    </row>
    <row r="4" spans="2:9" ht="17.5" thickBot="1" x14ac:dyDescent="0.5">
      <c r="B4" s="250" t="s">
        <v>440</v>
      </c>
      <c r="C4" s="303" t="s">
        <v>441</v>
      </c>
      <c r="D4" s="251" t="s">
        <v>442</v>
      </c>
      <c r="E4" s="251" t="s">
        <v>443</v>
      </c>
      <c r="F4" s="251" t="s">
        <v>444</v>
      </c>
      <c r="G4" s="304" t="s">
        <v>445</v>
      </c>
    </row>
    <row r="5" spans="2:9" x14ac:dyDescent="0.3">
      <c r="B5" s="252" t="s">
        <v>446</v>
      </c>
      <c r="C5" s="253">
        <f>Hoja1!Q40</f>
        <v>0</v>
      </c>
      <c r="D5" s="253"/>
      <c r="E5" s="253"/>
      <c r="F5" s="253"/>
      <c r="G5" s="254" t="e">
        <f>Hoja1!R35</f>
        <v>#NUM!</v>
      </c>
    </row>
    <row r="6" spans="2:9" x14ac:dyDescent="0.3">
      <c r="B6" s="255" t="s">
        <v>447</v>
      </c>
      <c r="C6" s="256">
        <f>Hoja1!O35</f>
        <v>0.2782</v>
      </c>
      <c r="D6" s="257"/>
      <c r="E6" s="257"/>
      <c r="F6" s="258"/>
      <c r="G6" s="329" t="e">
        <f>Hoja1!AT19</f>
        <v>#DIV/0!</v>
      </c>
      <c r="H6" s="248" t="s">
        <v>507</v>
      </c>
    </row>
    <row r="7" spans="2:9" ht="14.5" thickBot="1" x14ac:dyDescent="0.35">
      <c r="B7" s="259" t="s">
        <v>448</v>
      </c>
      <c r="C7" s="260">
        <f>C5*C6</f>
        <v>0</v>
      </c>
      <c r="D7" s="260"/>
      <c r="E7" s="260"/>
      <c r="F7" s="260"/>
      <c r="G7" s="261" t="e">
        <f>G5*G6</f>
        <v>#NUM!</v>
      </c>
    </row>
    <row r="8" spans="2:9" ht="14.5" thickBot="1" x14ac:dyDescent="0.35">
      <c r="C8" s="262"/>
      <c r="D8" s="262"/>
      <c r="E8" s="262"/>
      <c r="F8" s="262"/>
      <c r="G8" s="262"/>
    </row>
    <row r="9" spans="2:9" ht="14.5" thickBot="1" x14ac:dyDescent="0.35">
      <c r="B9" s="565" t="s">
        <v>449</v>
      </c>
      <c r="C9" s="566"/>
      <c r="D9" s="566"/>
      <c r="E9" s="566"/>
      <c r="F9" s="566"/>
      <c r="G9" s="566"/>
      <c r="H9" s="566"/>
      <c r="I9" s="567"/>
    </row>
    <row r="10" spans="2:9" ht="14.5" thickBot="1" x14ac:dyDescent="0.35">
      <c r="C10" s="262"/>
      <c r="D10" s="262"/>
      <c r="E10" s="262"/>
      <c r="F10" s="262"/>
      <c r="G10" s="262"/>
    </row>
    <row r="11" spans="2:9" ht="46.25" customHeight="1" thickBot="1" x14ac:dyDescent="0.35">
      <c r="B11" s="263" t="s">
        <v>450</v>
      </c>
      <c r="C11" s="264"/>
      <c r="E11" s="568" t="s">
        <v>451</v>
      </c>
      <c r="F11" s="569"/>
      <c r="G11" s="569"/>
      <c r="H11" s="569"/>
      <c r="I11" s="570"/>
    </row>
    <row r="12" spans="2:9" ht="28.5" thickBot="1" x14ac:dyDescent="0.35">
      <c r="B12" s="265" t="s">
        <v>452</v>
      </c>
      <c r="C12" s="266" t="s">
        <v>441</v>
      </c>
      <c r="D12" s="267" t="s">
        <v>453</v>
      </c>
      <c r="E12" s="268" t="s">
        <v>454</v>
      </c>
      <c r="F12" s="269"/>
      <c r="G12" s="270"/>
      <c r="H12" s="271" t="s">
        <v>478</v>
      </c>
      <c r="I12" s="272" t="s">
        <v>455</v>
      </c>
    </row>
    <row r="13" spans="2:9" ht="28" x14ac:dyDescent="0.3">
      <c r="B13" s="273" t="s">
        <v>456</v>
      </c>
      <c r="C13" s="274">
        <f>C6</f>
        <v>0.2782</v>
      </c>
      <c r="D13" s="275"/>
      <c r="E13" s="276"/>
      <c r="F13" s="276"/>
      <c r="G13" s="277"/>
      <c r="H13" s="278">
        <f>C13</f>
        <v>0.2782</v>
      </c>
      <c r="I13" s="279" t="s">
        <v>457</v>
      </c>
    </row>
    <row r="14" spans="2:9" ht="16" x14ac:dyDescent="0.3">
      <c r="B14" s="280" t="s">
        <v>458</v>
      </c>
      <c r="C14" s="337" t="e">
        <f>G6</f>
        <v>#DIV/0!</v>
      </c>
      <c r="D14" s="281" t="str">
        <f>G21</f>
        <v>-</v>
      </c>
      <c r="E14" s="333">
        <v>0</v>
      </c>
      <c r="F14" s="282"/>
      <c r="G14" s="283"/>
      <c r="H14" s="284" t="str">
        <f>IFERROR((C14+(D14*E14)),"-")</f>
        <v>-</v>
      </c>
      <c r="I14" s="571" t="s">
        <v>459</v>
      </c>
    </row>
    <row r="15" spans="2:9" ht="16" x14ac:dyDescent="0.3">
      <c r="B15" s="280" t="s">
        <v>460</v>
      </c>
      <c r="C15" s="337" t="e">
        <f>G6</f>
        <v>#DIV/0!</v>
      </c>
      <c r="D15" s="281" t="str">
        <f>G22</f>
        <v>-</v>
      </c>
      <c r="E15" s="333">
        <v>0</v>
      </c>
      <c r="F15" s="282"/>
      <c r="G15" s="283"/>
      <c r="H15" s="284" t="str">
        <f t="shared" ref="H15" si="0">IFERROR((C15+(D15*E15)),"-")</f>
        <v>-</v>
      </c>
      <c r="I15" s="572"/>
    </row>
    <row r="16" spans="2:9" ht="16.5" thickBot="1" x14ac:dyDescent="0.35">
      <c r="B16" s="285" t="s">
        <v>461</v>
      </c>
      <c r="C16" s="337" t="e">
        <f>G6</f>
        <v>#DIV/0!</v>
      </c>
      <c r="D16" s="286" t="str">
        <f>G23</f>
        <v>-</v>
      </c>
      <c r="E16" s="334">
        <v>0</v>
      </c>
      <c r="F16" s="287"/>
      <c r="G16" s="288"/>
      <c r="H16" s="284" t="str">
        <f>IFERROR((C16+(D16*E16)),"-")</f>
        <v>-</v>
      </c>
      <c r="I16" s="573"/>
    </row>
    <row r="17" spans="2:9" x14ac:dyDescent="0.3">
      <c r="B17" s="289"/>
      <c r="C17" s="289"/>
      <c r="D17" s="290"/>
      <c r="E17" s="289"/>
      <c r="F17" s="289"/>
      <c r="G17" s="290"/>
      <c r="H17" s="289"/>
      <c r="I17" s="291"/>
    </row>
    <row r="18" spans="2:9" ht="14.5" thickBot="1" x14ac:dyDescent="0.35"/>
    <row r="19" spans="2:9" s="264" customFormat="1" ht="56.5" thickBot="1" x14ac:dyDescent="0.35">
      <c r="B19" s="292" t="s">
        <v>462</v>
      </c>
      <c r="C19" s="293" t="s">
        <v>445</v>
      </c>
      <c r="D19" s="293" t="s">
        <v>463</v>
      </c>
      <c r="E19" s="294" t="s">
        <v>464</v>
      </c>
      <c r="F19" s="294" t="s">
        <v>465</v>
      </c>
      <c r="G19" s="295" t="s">
        <v>453</v>
      </c>
      <c r="H19" s="574" t="s">
        <v>455</v>
      </c>
      <c r="I19" s="575"/>
    </row>
    <row r="20" spans="2:9" ht="17" x14ac:dyDescent="0.45">
      <c r="B20" s="296" t="s">
        <v>445</v>
      </c>
      <c r="C20" s="297" t="e">
        <f>G5</f>
        <v>#NUM!</v>
      </c>
      <c r="D20" s="330" t="e">
        <f>G6</f>
        <v>#DIV/0!</v>
      </c>
      <c r="E20" s="253"/>
      <c r="F20" s="253"/>
      <c r="G20" s="298"/>
      <c r="H20" s="557" t="s">
        <v>466</v>
      </c>
      <c r="I20" s="558"/>
    </row>
    <row r="21" spans="2:9" ht="16.25" customHeight="1" x14ac:dyDescent="0.4">
      <c r="B21" s="255" t="s">
        <v>467</v>
      </c>
      <c r="C21" s="257"/>
      <c r="D21" s="257"/>
      <c r="E21" s="299">
        <v>5</v>
      </c>
      <c r="F21" s="257" t="str">
        <f>IFERROR(E21/$G$5,"0")</f>
        <v>0</v>
      </c>
      <c r="G21" s="300" t="str">
        <f>IFERROR($D$20*F21,"-")</f>
        <v>-</v>
      </c>
      <c r="H21" s="559"/>
      <c r="I21" s="560"/>
    </row>
    <row r="22" spans="2:9" ht="16" x14ac:dyDescent="0.4">
      <c r="B22" s="255" t="s">
        <v>468</v>
      </c>
      <c r="C22" s="257"/>
      <c r="D22" s="257"/>
      <c r="E22" s="299">
        <v>15</v>
      </c>
      <c r="F22" s="257" t="str">
        <f>IFERROR(E22/$G$5,"0")</f>
        <v>0</v>
      </c>
      <c r="G22" s="300" t="str">
        <f t="shared" ref="G22:G23" si="1">IFERROR($D$20*F22,"-")</f>
        <v>-</v>
      </c>
      <c r="H22" s="559"/>
      <c r="I22" s="560"/>
    </row>
    <row r="23" spans="2:9" ht="16.5" thickBot="1" x14ac:dyDescent="0.45">
      <c r="B23" s="259" t="s">
        <v>469</v>
      </c>
      <c r="C23" s="301"/>
      <c r="D23" s="301"/>
      <c r="E23" s="302">
        <v>30</v>
      </c>
      <c r="F23" s="257" t="str">
        <f>IFERROR(E23/$G$5,"0")</f>
        <v>0</v>
      </c>
      <c r="G23" s="335" t="str">
        <f t="shared" si="1"/>
        <v>-</v>
      </c>
      <c r="H23" s="561"/>
      <c r="I23" s="562"/>
    </row>
    <row r="24" spans="2:9" x14ac:dyDescent="0.3">
      <c r="G24" s="338" t="e">
        <f>H14/'6.Compensación'!$C$7</f>
        <v>#VALUE!</v>
      </c>
      <c r="H24" s="336" t="s">
        <v>508</v>
      </c>
    </row>
    <row r="25" spans="2:9" x14ac:dyDescent="0.3">
      <c r="G25" s="338" t="e">
        <f>H15/'6.Compensación'!$C$7</f>
        <v>#VALUE!</v>
      </c>
      <c r="H25" s="336" t="s">
        <v>508</v>
      </c>
    </row>
    <row r="26" spans="2:9" x14ac:dyDescent="0.3">
      <c r="G26" s="338" t="e">
        <f>H16/'6.Compensación'!$C$7</f>
        <v>#VALUE!</v>
      </c>
      <c r="H26" s="336" t="s">
        <v>508</v>
      </c>
    </row>
  </sheetData>
  <mergeCells count="6">
    <mergeCell ref="H20:I23"/>
    <mergeCell ref="F1:G1"/>
    <mergeCell ref="B9:I9"/>
    <mergeCell ref="E11:I11"/>
    <mergeCell ref="I14:I16"/>
    <mergeCell ref="H19:I19"/>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2E276-08E6-4ACA-9093-78FE6A771D34}">
  <dimension ref="A1:H27"/>
  <sheetViews>
    <sheetView showGridLines="0" showRuler="0" view="pageLayout" zoomScale="58" zoomScaleNormal="100" zoomScaleSheetLayoutView="100" zoomScalePageLayoutView="58" workbookViewId="0">
      <selection activeCell="I7" sqref="I7"/>
    </sheetView>
  </sheetViews>
  <sheetFormatPr baseColWidth="10" defaultColWidth="11" defaultRowHeight="14" x14ac:dyDescent="0.3"/>
  <cols>
    <col min="1" max="1" width="23.1640625" customWidth="1"/>
    <col min="2" max="2" width="13.1640625" customWidth="1"/>
    <col min="3" max="3" width="4.83203125" customWidth="1"/>
    <col min="4" max="4" width="8.33203125" customWidth="1"/>
    <col min="5" max="5" width="7.83203125" customWidth="1"/>
    <col min="6" max="6" width="9.33203125" customWidth="1"/>
    <col min="7" max="7" width="13.08203125" customWidth="1"/>
    <col min="8" max="8" width="18" customWidth="1"/>
  </cols>
  <sheetData>
    <row r="1" spans="1:8" ht="27.65" customHeight="1" x14ac:dyDescent="0.3">
      <c r="A1" s="56" t="s">
        <v>45</v>
      </c>
      <c r="B1" s="482"/>
      <c r="C1" s="483"/>
      <c r="D1" s="483"/>
      <c r="E1" s="483"/>
      <c r="F1" s="483"/>
      <c r="G1" s="483"/>
    </row>
    <row r="2" spans="1:8" x14ac:dyDescent="0.3">
      <c r="A2" s="56" t="s">
        <v>376</v>
      </c>
      <c r="B2" s="485"/>
      <c r="C2" s="486"/>
      <c r="D2" s="486"/>
      <c r="E2" s="487" t="s">
        <v>9</v>
      </c>
      <c r="F2" s="487"/>
      <c r="G2" s="111" t="s">
        <v>131</v>
      </c>
    </row>
    <row r="3" spans="1:8" x14ac:dyDescent="0.3">
      <c r="A3" s="56" t="s">
        <v>10</v>
      </c>
      <c r="B3" s="47" t="s">
        <v>153</v>
      </c>
      <c r="C3" s="484"/>
      <c r="D3" s="484"/>
      <c r="E3" s="484"/>
      <c r="F3" s="484"/>
      <c r="G3" s="484"/>
    </row>
    <row r="4" spans="1:8" x14ac:dyDescent="0.3">
      <c r="A4" s="56" t="s">
        <v>48</v>
      </c>
      <c r="B4" s="482"/>
      <c r="C4" s="483"/>
      <c r="D4" s="483"/>
      <c r="E4" s="483"/>
      <c r="F4" s="483"/>
      <c r="G4" s="483"/>
    </row>
    <row r="5" spans="1:8" x14ac:dyDescent="0.3">
      <c r="A5" s="56" t="s">
        <v>49</v>
      </c>
      <c r="B5" s="47" t="s">
        <v>181</v>
      </c>
      <c r="C5" s="426" t="s">
        <v>13</v>
      </c>
      <c r="D5" s="427"/>
      <c r="E5" s="427"/>
      <c r="F5" s="428"/>
      <c r="G5" s="107"/>
    </row>
    <row r="6" spans="1:8" ht="42" customHeight="1" x14ac:dyDescent="0.3">
      <c r="A6" s="57" t="s">
        <v>14</v>
      </c>
      <c r="B6" s="480"/>
      <c r="C6" s="480"/>
      <c r="D6" s="480"/>
      <c r="E6" s="480"/>
      <c r="F6" s="480"/>
      <c r="G6" s="480"/>
    </row>
    <row r="7" spans="1:8" ht="43.5" customHeight="1" x14ac:dyDescent="0.3">
      <c r="A7" s="58" t="s">
        <v>51</v>
      </c>
      <c r="B7" s="480"/>
      <c r="C7" s="481"/>
      <c r="D7" s="481"/>
      <c r="E7" s="481"/>
      <c r="F7" s="481"/>
      <c r="G7" s="481"/>
    </row>
    <row r="8" spans="1:8" x14ac:dyDescent="0.3">
      <c r="A8" s="59" t="s">
        <v>52</v>
      </c>
      <c r="B8" s="488"/>
      <c r="C8" s="488"/>
      <c r="D8" s="488"/>
      <c r="E8" s="488"/>
      <c r="F8" s="488"/>
      <c r="G8" s="488"/>
      <c r="H8" s="6"/>
    </row>
    <row r="9" spans="1:8" x14ac:dyDescent="0.3">
      <c r="A9" s="446" t="s">
        <v>53</v>
      </c>
      <c r="B9" s="444"/>
      <c r="C9" s="444"/>
      <c r="D9" s="394" t="s">
        <v>198</v>
      </c>
      <c r="E9" s="6"/>
      <c r="F9" s="393" t="s">
        <v>55</v>
      </c>
      <c r="G9" s="393">
        <v>380</v>
      </c>
      <c r="H9" s="393"/>
    </row>
    <row r="10" spans="1:8" ht="16.5" x14ac:dyDescent="0.3">
      <c r="A10" s="446" t="s">
        <v>56</v>
      </c>
      <c r="B10" s="446"/>
      <c r="C10" s="446"/>
      <c r="D10" s="10" t="s">
        <v>154</v>
      </c>
      <c r="F10" s="170" t="s">
        <v>378</v>
      </c>
      <c r="G10" s="70"/>
      <c r="H10" s="6"/>
    </row>
    <row r="12" spans="1:8" ht="28" x14ac:dyDescent="0.3">
      <c r="A12" s="105" t="s">
        <v>58</v>
      </c>
      <c r="B12" s="112" t="s">
        <v>59</v>
      </c>
      <c r="C12" s="489" t="s">
        <v>60</v>
      </c>
      <c r="D12" s="489"/>
      <c r="E12" s="406" t="s">
        <v>61</v>
      </c>
      <c r="F12" s="406"/>
      <c r="G12" s="105" t="s">
        <v>62</v>
      </c>
      <c r="H12" s="106" t="s">
        <v>63</v>
      </c>
    </row>
    <row r="13" spans="1:8" x14ac:dyDescent="0.3">
      <c r="A13" s="54">
        <v>45170</v>
      </c>
      <c r="B13" s="1"/>
      <c r="C13" s="407"/>
      <c r="D13" s="407"/>
      <c r="E13" s="479">
        <f>B13-C13</f>
        <v>0</v>
      </c>
      <c r="F13" s="479"/>
      <c r="G13" s="95"/>
      <c r="H13" s="1"/>
    </row>
    <row r="14" spans="1:8" x14ac:dyDescent="0.3">
      <c r="A14" s="82">
        <f t="shared" ref="A14:A24" si="0">A13+31</f>
        <v>45201</v>
      </c>
      <c r="B14" s="1"/>
      <c r="C14" s="407"/>
      <c r="D14" s="407"/>
      <c r="E14" s="479">
        <f t="shared" ref="E14:E24" si="1">B14-C14</f>
        <v>0</v>
      </c>
      <c r="F14" s="479"/>
      <c r="G14" s="95"/>
      <c r="H14" s="1"/>
    </row>
    <row r="15" spans="1:8" x14ac:dyDescent="0.3">
      <c r="A15" s="82">
        <f t="shared" si="0"/>
        <v>45232</v>
      </c>
      <c r="B15" s="1"/>
      <c r="C15" s="407"/>
      <c r="D15" s="407"/>
      <c r="E15" s="479">
        <f t="shared" si="1"/>
        <v>0</v>
      </c>
      <c r="F15" s="479"/>
      <c r="G15" s="95"/>
      <c r="H15" s="1"/>
    </row>
    <row r="16" spans="1:8" x14ac:dyDescent="0.3">
      <c r="A16" s="82">
        <f t="shared" si="0"/>
        <v>45263</v>
      </c>
      <c r="B16" s="1"/>
      <c r="C16" s="407"/>
      <c r="D16" s="407"/>
      <c r="E16" s="479">
        <f t="shared" si="1"/>
        <v>0</v>
      </c>
      <c r="F16" s="479"/>
      <c r="G16" s="95"/>
      <c r="H16" s="1"/>
    </row>
    <row r="17" spans="1:8" x14ac:dyDescent="0.3">
      <c r="A17" s="82">
        <f t="shared" si="0"/>
        <v>45294</v>
      </c>
      <c r="B17" s="1"/>
      <c r="C17" s="407"/>
      <c r="D17" s="407"/>
      <c r="E17" s="479">
        <f t="shared" si="1"/>
        <v>0</v>
      </c>
      <c r="F17" s="479"/>
      <c r="G17" s="95"/>
      <c r="H17" s="1"/>
    </row>
    <row r="18" spans="1:8" x14ac:dyDescent="0.3">
      <c r="A18" s="82">
        <f t="shared" si="0"/>
        <v>45325</v>
      </c>
      <c r="B18" s="1"/>
      <c r="C18" s="407"/>
      <c r="D18" s="407"/>
      <c r="E18" s="479">
        <f t="shared" si="1"/>
        <v>0</v>
      </c>
      <c r="F18" s="479"/>
      <c r="G18" s="95"/>
      <c r="H18" s="1"/>
    </row>
    <row r="19" spans="1:8" x14ac:dyDescent="0.3">
      <c r="A19" s="82">
        <f t="shared" si="0"/>
        <v>45356</v>
      </c>
      <c r="B19" s="1"/>
      <c r="C19" s="407"/>
      <c r="D19" s="407"/>
      <c r="E19" s="479">
        <f t="shared" si="1"/>
        <v>0</v>
      </c>
      <c r="F19" s="479"/>
      <c r="G19" s="95"/>
      <c r="H19" s="1"/>
    </row>
    <row r="20" spans="1:8" x14ac:dyDescent="0.3">
      <c r="A20" s="82">
        <f t="shared" si="0"/>
        <v>45387</v>
      </c>
      <c r="B20" s="1"/>
      <c r="C20" s="407"/>
      <c r="D20" s="407"/>
      <c r="E20" s="479">
        <f t="shared" si="1"/>
        <v>0</v>
      </c>
      <c r="F20" s="479"/>
      <c r="G20" s="95"/>
      <c r="H20" s="1"/>
    </row>
    <row r="21" spans="1:8" x14ac:dyDescent="0.3">
      <c r="A21" s="82">
        <f t="shared" si="0"/>
        <v>45418</v>
      </c>
      <c r="B21" s="1"/>
      <c r="C21" s="407"/>
      <c r="D21" s="407"/>
      <c r="E21" s="479">
        <f t="shared" si="1"/>
        <v>0</v>
      </c>
      <c r="F21" s="479"/>
      <c r="G21" s="95"/>
      <c r="H21" s="1"/>
    </row>
    <row r="22" spans="1:8" x14ac:dyDescent="0.3">
      <c r="A22" s="82">
        <f t="shared" si="0"/>
        <v>45449</v>
      </c>
      <c r="B22" s="1"/>
      <c r="C22" s="407"/>
      <c r="D22" s="407"/>
      <c r="E22" s="479">
        <f t="shared" si="1"/>
        <v>0</v>
      </c>
      <c r="F22" s="479"/>
      <c r="G22" s="95"/>
      <c r="H22" s="1"/>
    </row>
    <row r="23" spans="1:8" x14ac:dyDescent="0.3">
      <c r="A23" s="82">
        <f t="shared" si="0"/>
        <v>45480</v>
      </c>
      <c r="B23" s="1"/>
      <c r="C23" s="407"/>
      <c r="D23" s="407"/>
      <c r="E23" s="479">
        <f t="shared" si="1"/>
        <v>0</v>
      </c>
      <c r="F23" s="479"/>
      <c r="G23" s="95"/>
      <c r="H23" s="1"/>
    </row>
    <row r="24" spans="1:8" x14ac:dyDescent="0.3">
      <c r="A24" s="82">
        <f t="shared" si="0"/>
        <v>45511</v>
      </c>
      <c r="B24" s="1"/>
      <c r="C24" s="407"/>
      <c r="D24" s="407"/>
      <c r="E24" s="479">
        <f t="shared" si="1"/>
        <v>0</v>
      </c>
      <c r="F24" s="479"/>
      <c r="G24" s="95"/>
      <c r="H24" s="1"/>
    </row>
    <row r="25" spans="1:8" x14ac:dyDescent="0.3">
      <c r="A25" s="109" t="s">
        <v>64</v>
      </c>
      <c r="B25" s="109" t="s">
        <v>65</v>
      </c>
    </row>
    <row r="26" spans="1:8" x14ac:dyDescent="0.3">
      <c r="A26" s="107" t="s">
        <v>66</v>
      </c>
      <c r="B26" s="308" t="s">
        <v>479</v>
      </c>
    </row>
    <row r="27" spans="1:8" x14ac:dyDescent="0.3">
      <c r="A27" s="113" t="s">
        <v>67</v>
      </c>
      <c r="B27" s="324" t="s">
        <v>503</v>
      </c>
    </row>
  </sheetData>
  <mergeCells count="37">
    <mergeCell ref="E16:F16"/>
    <mergeCell ref="E24:F24"/>
    <mergeCell ref="C21:D21"/>
    <mergeCell ref="C22:D22"/>
    <mergeCell ref="C23:D23"/>
    <mergeCell ref="C24:D24"/>
    <mergeCell ref="E22:F22"/>
    <mergeCell ref="E23:F23"/>
    <mergeCell ref="E17:F17"/>
    <mergeCell ref="E18:F18"/>
    <mergeCell ref="E19:F19"/>
    <mergeCell ref="E20:F20"/>
    <mergeCell ref="E21:F21"/>
    <mergeCell ref="C16:D16"/>
    <mergeCell ref="C17:D17"/>
    <mergeCell ref="C18:D18"/>
    <mergeCell ref="C19:D19"/>
    <mergeCell ref="C20:D20"/>
    <mergeCell ref="B7:G7"/>
    <mergeCell ref="B6:G6"/>
    <mergeCell ref="B1:G1"/>
    <mergeCell ref="B4:G4"/>
    <mergeCell ref="C3:G3"/>
    <mergeCell ref="B2:D2"/>
    <mergeCell ref="E2:F2"/>
    <mergeCell ref="C5:F5"/>
    <mergeCell ref="C14:D14"/>
    <mergeCell ref="C15:D15"/>
    <mergeCell ref="A9:C9"/>
    <mergeCell ref="A10:C10"/>
    <mergeCell ref="B8:G8"/>
    <mergeCell ref="C12:D12"/>
    <mergeCell ref="C13:D13"/>
    <mergeCell ref="E12:F12"/>
    <mergeCell ref="E13:F13"/>
    <mergeCell ref="E14:F14"/>
    <mergeCell ref="E15:F15"/>
  </mergeCells>
  <phoneticPr fontId="37" type="noConversion"/>
  <pageMargins left="0.7" right="0.7" top="0.75" bottom="0.75" header="0.3" footer="0.3"/>
  <pageSetup paperSize="9" orientation="landscape" horizontalDpi="360" verticalDpi="360" r:id="rId1"/>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xr:uid="{9B9EAAD3-7D72-4FB4-A43C-5091C58C37F0}">
          <x14:formula1>
            <xm:f>Hoja1!$U$2:$U$11</xm:f>
          </x14:formula1>
          <xm:sqref>B3</xm:sqref>
        </x14:dataValidation>
        <x14:dataValidation type="list" allowBlank="1" showInputMessage="1" showErrorMessage="1" xr:uid="{A08EF8F3-0A96-47D0-AF8E-509B46FD343D}">
          <x14:formula1>
            <xm:f>Hoja1!$W$2:$W$10</xm:f>
          </x14:formula1>
          <xm:sqref>B5</xm:sqref>
        </x14:dataValidation>
        <x14:dataValidation type="list" allowBlank="1" showInputMessage="1" showErrorMessage="1" xr:uid="{67D63269-12DD-4422-B2BE-8DA57534CE90}">
          <x14:formula1>
            <xm:f>Hoja1!$AB$2:$AB$3</xm:f>
          </x14:formula1>
          <xm:sqref>G2</xm:sqref>
        </x14:dataValidation>
        <x14:dataValidation type="list" allowBlank="1" showInputMessage="1" showErrorMessage="1" xr:uid="{028ED150-F57C-490C-A6E5-5EB5BE840953}">
          <x14:formula1>
            <xm:f>Hoja1!$AM$2:$AM$13</xm:f>
          </x14:formula1>
          <xm:sqref>D9:D10</xm:sqref>
        </x14:dataValidation>
        <x14:dataValidation type="list" allowBlank="1" showInputMessage="1" showErrorMessage="1" xr:uid="{02E3B290-F815-44BC-A167-E6F08AEEA138}">
          <x14:formula1>
            <xm:f>Hoja1!$AE$2:$AE$26</xm:f>
          </x14:formula1>
          <xm:sqref>D9</xm:sqref>
        </x14:dataValidation>
        <x14:dataValidation type="list" allowBlank="1" showInputMessage="1" showErrorMessage="1" xr:uid="{871A1EE5-72E7-4827-A53C-7073398D1381}">
          <x14:formula1>
            <xm:f>Hoja1!$O$2:$O$4</xm:f>
          </x14:formula1>
          <xm:sqref>G9</xm:sqref>
        </x14:dataValidation>
        <x14:dataValidation type="list" allowBlank="1" showInputMessage="1" showErrorMessage="1" xr:uid="{5CB0F3A0-1EB0-48BF-B45A-7B577727D7F4}">
          <x14:formula1>
            <xm:f>Hoja1!$AE$2:$AE$90</xm:f>
          </x14:formula1>
          <xm:sqref>A13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04FEC-0134-40A0-9E0B-6B262E755E8F}">
  <dimension ref="A1:U35"/>
  <sheetViews>
    <sheetView zoomScale="53" workbookViewId="0">
      <selection activeCell="K5" sqref="K5"/>
    </sheetView>
  </sheetViews>
  <sheetFormatPr baseColWidth="10" defaultColWidth="11" defaultRowHeight="14" x14ac:dyDescent="0.3"/>
  <cols>
    <col min="8" max="8" width="17.5" customWidth="1"/>
    <col min="12" max="12" width="3" customWidth="1"/>
    <col min="17" max="17" width="2.08203125" customWidth="1"/>
  </cols>
  <sheetData>
    <row r="1" spans="1:21" x14ac:dyDescent="0.3">
      <c r="A1" s="491" t="s">
        <v>68</v>
      </c>
      <c r="B1" s="491"/>
      <c r="C1" s="491"/>
      <c r="D1" s="491"/>
      <c r="G1" s="491" t="s">
        <v>69</v>
      </c>
      <c r="H1" s="491"/>
      <c r="I1" s="491"/>
      <c r="J1" s="491"/>
      <c r="K1" s="491"/>
      <c r="M1" s="405" t="s">
        <v>70</v>
      </c>
      <c r="N1" s="491"/>
      <c r="O1" s="491"/>
      <c r="P1" s="491"/>
      <c r="R1" s="491" t="s">
        <v>71</v>
      </c>
      <c r="S1" s="491"/>
      <c r="T1" s="491"/>
      <c r="U1" s="491"/>
    </row>
    <row r="2" spans="1:21" x14ac:dyDescent="0.3">
      <c r="A2" s="491"/>
      <c r="B2" s="491"/>
      <c r="C2" s="491"/>
      <c r="D2" s="491"/>
      <c r="G2" s="491"/>
      <c r="H2" s="491"/>
      <c r="I2" s="491"/>
      <c r="J2" s="491"/>
      <c r="K2" s="491"/>
      <c r="M2" s="491"/>
      <c r="N2" s="491"/>
      <c r="O2" s="491"/>
      <c r="P2" s="491"/>
      <c r="R2" s="491"/>
      <c r="S2" s="491"/>
      <c r="T2" s="491"/>
      <c r="U2" s="491"/>
    </row>
    <row r="3" spans="1:21" x14ac:dyDescent="0.3">
      <c r="A3" s="494" t="s">
        <v>58</v>
      </c>
      <c r="B3" s="498" t="s">
        <v>72</v>
      </c>
      <c r="C3" s="499"/>
      <c r="D3" s="490" t="s">
        <v>73</v>
      </c>
      <c r="G3" s="494" t="s">
        <v>58</v>
      </c>
      <c r="H3" s="494" t="s">
        <v>74</v>
      </c>
      <c r="I3" s="494" t="s">
        <v>75</v>
      </c>
      <c r="J3" s="496" t="s">
        <v>76</v>
      </c>
      <c r="K3" s="490" t="s">
        <v>73</v>
      </c>
      <c r="M3" s="494" t="s">
        <v>58</v>
      </c>
      <c r="N3" s="494" t="s">
        <v>74</v>
      </c>
      <c r="O3" s="494" t="s">
        <v>75</v>
      </c>
      <c r="P3" s="490" t="s">
        <v>73</v>
      </c>
      <c r="R3" s="494" t="s">
        <v>58</v>
      </c>
      <c r="S3" s="494" t="s">
        <v>74</v>
      </c>
      <c r="T3" s="494" t="s">
        <v>75</v>
      </c>
      <c r="U3" s="490" t="s">
        <v>73</v>
      </c>
    </row>
    <row r="4" spans="1:21" x14ac:dyDescent="0.3">
      <c r="A4" s="495"/>
      <c r="B4" s="60" t="s">
        <v>77</v>
      </c>
      <c r="C4" s="60" t="s">
        <v>78</v>
      </c>
      <c r="D4" s="491"/>
      <c r="G4" s="495"/>
      <c r="H4" s="495"/>
      <c r="I4" s="495" t="s">
        <v>75</v>
      </c>
      <c r="J4" s="497" t="s">
        <v>75</v>
      </c>
      <c r="K4" s="491"/>
      <c r="M4" s="495"/>
      <c r="N4" s="495"/>
      <c r="O4" s="495" t="s">
        <v>75</v>
      </c>
      <c r="P4" s="491"/>
      <c r="R4" s="495"/>
      <c r="S4" s="495"/>
      <c r="T4" s="495" t="s">
        <v>75</v>
      </c>
      <c r="U4" s="491"/>
    </row>
    <row r="5" spans="1:21" x14ac:dyDescent="0.3">
      <c r="A5" s="82">
        <f>'1.GeneralesEmpresa'!A13</f>
        <v>45170</v>
      </c>
      <c r="B5" s="1"/>
      <c r="C5" s="1"/>
      <c r="D5" s="53"/>
      <c r="E5" s="11"/>
      <c r="G5" s="82">
        <f>A5</f>
        <v>45170</v>
      </c>
      <c r="H5" s="10" t="s">
        <v>123</v>
      </c>
      <c r="I5" s="1"/>
      <c r="J5" s="9"/>
      <c r="K5" s="53">
        <f>I5*J5</f>
        <v>0</v>
      </c>
      <c r="M5" s="82">
        <f>G5</f>
        <v>45170</v>
      </c>
      <c r="N5" s="46" t="s">
        <v>80</v>
      </c>
      <c r="O5" s="1"/>
      <c r="P5" s="53"/>
      <c r="R5" s="82">
        <f>M5</f>
        <v>45170</v>
      </c>
      <c r="S5" s="46" t="s">
        <v>81</v>
      </c>
      <c r="T5" s="1"/>
      <c r="U5" s="53"/>
    </row>
    <row r="6" spans="1:21" x14ac:dyDescent="0.3">
      <c r="A6" s="82">
        <f>'1.GeneralesEmpresa'!A14</f>
        <v>45201</v>
      </c>
      <c r="B6" s="1"/>
      <c r="C6" s="1"/>
      <c r="D6" s="53"/>
      <c r="E6" s="11"/>
      <c r="G6" s="82">
        <f t="shared" ref="G6:G16" si="0">A6</f>
        <v>45201</v>
      </c>
      <c r="H6" s="1" t="str">
        <f>H5</f>
        <v>Balón de 10kg</v>
      </c>
      <c r="I6" s="1"/>
      <c r="J6" s="9"/>
      <c r="K6" s="53">
        <f t="shared" ref="K6:K16" si="1">I6*J6</f>
        <v>0</v>
      </c>
      <c r="M6" s="82">
        <f t="shared" ref="M6:M16" si="2">G6</f>
        <v>45201</v>
      </c>
      <c r="N6" s="46" t="str">
        <f>N5</f>
        <v>m3</v>
      </c>
      <c r="O6" s="1"/>
      <c r="P6" s="53"/>
      <c r="R6" s="82">
        <f t="shared" ref="R6:R16" si="3">M6</f>
        <v>45201</v>
      </c>
      <c r="S6" s="46" t="str">
        <f>S5</f>
        <v>gal</v>
      </c>
      <c r="T6" s="1"/>
      <c r="U6" s="53"/>
    </row>
    <row r="7" spans="1:21" x14ac:dyDescent="0.3">
      <c r="A7" s="82">
        <f>'1.GeneralesEmpresa'!A15</f>
        <v>45232</v>
      </c>
      <c r="B7" s="1"/>
      <c r="C7" s="1"/>
      <c r="D7" s="53"/>
      <c r="E7" s="11"/>
      <c r="G7" s="82">
        <f t="shared" si="0"/>
        <v>45232</v>
      </c>
      <c r="H7" s="1" t="str">
        <f t="shared" ref="H7:H16" si="4">H6</f>
        <v>Balón de 10kg</v>
      </c>
      <c r="I7" s="1"/>
      <c r="J7" s="9"/>
      <c r="K7" s="53">
        <f t="shared" si="1"/>
        <v>0</v>
      </c>
      <c r="M7" s="82">
        <f t="shared" si="2"/>
        <v>45232</v>
      </c>
      <c r="N7" s="46" t="str">
        <f t="shared" ref="N7:N16" si="5">N6</f>
        <v>m3</v>
      </c>
      <c r="O7" s="1"/>
      <c r="P7" s="53"/>
      <c r="R7" s="82">
        <f t="shared" si="3"/>
        <v>45232</v>
      </c>
      <c r="S7" s="46" t="str">
        <f t="shared" ref="S7:S16" si="6">S6</f>
        <v>gal</v>
      </c>
      <c r="T7" s="1"/>
      <c r="U7" s="53"/>
    </row>
    <row r="8" spans="1:21" x14ac:dyDescent="0.3">
      <c r="A8" s="82">
        <f>'1.GeneralesEmpresa'!A16</f>
        <v>45263</v>
      </c>
      <c r="B8" s="1"/>
      <c r="C8" s="1"/>
      <c r="D8" s="53"/>
      <c r="E8" s="11"/>
      <c r="G8" s="82">
        <f t="shared" si="0"/>
        <v>45263</v>
      </c>
      <c r="H8" s="1" t="str">
        <f t="shared" si="4"/>
        <v>Balón de 10kg</v>
      </c>
      <c r="I8" s="1"/>
      <c r="J8" s="9"/>
      <c r="K8" s="53">
        <f t="shared" si="1"/>
        <v>0</v>
      </c>
      <c r="M8" s="82">
        <f t="shared" si="2"/>
        <v>45263</v>
      </c>
      <c r="N8" s="46" t="str">
        <f t="shared" si="5"/>
        <v>m3</v>
      </c>
      <c r="O8" s="1"/>
      <c r="P8" s="53"/>
      <c r="R8" s="82">
        <f t="shared" si="3"/>
        <v>45263</v>
      </c>
      <c r="S8" s="46" t="str">
        <f t="shared" si="6"/>
        <v>gal</v>
      </c>
      <c r="T8" s="1"/>
      <c r="U8" s="53"/>
    </row>
    <row r="9" spans="1:21" x14ac:dyDescent="0.3">
      <c r="A9" s="82">
        <f>'1.GeneralesEmpresa'!A17</f>
        <v>45294</v>
      </c>
      <c r="B9" s="1"/>
      <c r="C9" s="1"/>
      <c r="D9" s="53"/>
      <c r="E9" s="11"/>
      <c r="G9" s="82">
        <f t="shared" si="0"/>
        <v>45294</v>
      </c>
      <c r="H9" s="1" t="str">
        <f t="shared" si="4"/>
        <v>Balón de 10kg</v>
      </c>
      <c r="I9" s="1"/>
      <c r="J9" s="9"/>
      <c r="K9" s="53">
        <f t="shared" si="1"/>
        <v>0</v>
      </c>
      <c r="M9" s="82">
        <f t="shared" si="2"/>
        <v>45294</v>
      </c>
      <c r="N9" s="46" t="str">
        <f t="shared" si="5"/>
        <v>m3</v>
      </c>
      <c r="O9" s="1"/>
      <c r="P9" s="53"/>
      <c r="R9" s="82">
        <f t="shared" si="3"/>
        <v>45294</v>
      </c>
      <c r="S9" s="46" t="str">
        <f t="shared" si="6"/>
        <v>gal</v>
      </c>
      <c r="T9" s="1"/>
      <c r="U9" s="53"/>
    </row>
    <row r="10" spans="1:21" x14ac:dyDescent="0.3">
      <c r="A10" s="82">
        <f>'1.GeneralesEmpresa'!A18</f>
        <v>45325</v>
      </c>
      <c r="B10" s="1"/>
      <c r="C10" s="1"/>
      <c r="D10" s="53"/>
      <c r="E10" s="11"/>
      <c r="G10" s="82">
        <f t="shared" si="0"/>
        <v>45325</v>
      </c>
      <c r="H10" s="1" t="str">
        <f t="shared" si="4"/>
        <v>Balón de 10kg</v>
      </c>
      <c r="I10" s="1"/>
      <c r="J10" s="9"/>
      <c r="K10" s="53">
        <f t="shared" si="1"/>
        <v>0</v>
      </c>
      <c r="M10" s="82">
        <f t="shared" si="2"/>
        <v>45325</v>
      </c>
      <c r="N10" s="46" t="str">
        <f t="shared" si="5"/>
        <v>m3</v>
      </c>
      <c r="O10" s="1"/>
      <c r="P10" s="53"/>
      <c r="R10" s="82">
        <f t="shared" si="3"/>
        <v>45325</v>
      </c>
      <c r="S10" s="46" t="str">
        <f t="shared" si="6"/>
        <v>gal</v>
      </c>
      <c r="T10" s="1"/>
      <c r="U10" s="53"/>
    </row>
    <row r="11" spans="1:21" x14ac:dyDescent="0.3">
      <c r="A11" s="82">
        <f>'1.GeneralesEmpresa'!A19</f>
        <v>45356</v>
      </c>
      <c r="B11" s="1"/>
      <c r="C11" s="1"/>
      <c r="D11" s="53"/>
      <c r="E11" s="11"/>
      <c r="G11" s="82">
        <f t="shared" si="0"/>
        <v>45356</v>
      </c>
      <c r="H11" s="1" t="str">
        <f t="shared" si="4"/>
        <v>Balón de 10kg</v>
      </c>
      <c r="I11" s="1"/>
      <c r="J11" s="9"/>
      <c r="K11" s="53">
        <f t="shared" si="1"/>
        <v>0</v>
      </c>
      <c r="M11" s="82">
        <f t="shared" si="2"/>
        <v>45356</v>
      </c>
      <c r="N11" s="46" t="str">
        <f t="shared" si="5"/>
        <v>m3</v>
      </c>
      <c r="O11" s="1"/>
      <c r="P11" s="53"/>
      <c r="R11" s="82">
        <f t="shared" si="3"/>
        <v>45356</v>
      </c>
      <c r="S11" s="46" t="str">
        <f t="shared" si="6"/>
        <v>gal</v>
      </c>
      <c r="T11" s="1"/>
      <c r="U11" s="53"/>
    </row>
    <row r="12" spans="1:21" x14ac:dyDescent="0.3">
      <c r="A12" s="82">
        <f>'1.GeneralesEmpresa'!A20</f>
        <v>45387</v>
      </c>
      <c r="B12" s="1"/>
      <c r="C12" s="1"/>
      <c r="D12" s="53"/>
      <c r="E12" s="11"/>
      <c r="G12" s="82">
        <f t="shared" si="0"/>
        <v>45387</v>
      </c>
      <c r="H12" s="1" t="str">
        <f t="shared" si="4"/>
        <v>Balón de 10kg</v>
      </c>
      <c r="I12" s="1"/>
      <c r="J12" s="9"/>
      <c r="K12" s="53">
        <f t="shared" si="1"/>
        <v>0</v>
      </c>
      <c r="M12" s="82">
        <f t="shared" si="2"/>
        <v>45387</v>
      </c>
      <c r="N12" s="46" t="str">
        <f t="shared" si="5"/>
        <v>m3</v>
      </c>
      <c r="O12" s="1"/>
      <c r="P12" s="53"/>
      <c r="R12" s="82">
        <f t="shared" si="3"/>
        <v>45387</v>
      </c>
      <c r="S12" s="46" t="str">
        <f t="shared" si="6"/>
        <v>gal</v>
      </c>
      <c r="T12" s="1"/>
      <c r="U12" s="53"/>
    </row>
    <row r="13" spans="1:21" x14ac:dyDescent="0.3">
      <c r="A13" s="82">
        <f>'1.GeneralesEmpresa'!A21</f>
        <v>45418</v>
      </c>
      <c r="B13" s="1"/>
      <c r="C13" s="1"/>
      <c r="D13" s="53"/>
      <c r="E13" s="11"/>
      <c r="G13" s="82">
        <f t="shared" si="0"/>
        <v>45418</v>
      </c>
      <c r="H13" s="1" t="str">
        <f t="shared" si="4"/>
        <v>Balón de 10kg</v>
      </c>
      <c r="I13" s="1"/>
      <c r="J13" s="9"/>
      <c r="K13" s="53">
        <f t="shared" si="1"/>
        <v>0</v>
      </c>
      <c r="M13" s="82">
        <f t="shared" si="2"/>
        <v>45418</v>
      </c>
      <c r="N13" s="46" t="str">
        <f t="shared" si="5"/>
        <v>m3</v>
      </c>
      <c r="O13" s="1"/>
      <c r="P13" s="53"/>
      <c r="R13" s="82">
        <f t="shared" si="3"/>
        <v>45418</v>
      </c>
      <c r="S13" s="46" t="str">
        <f t="shared" si="6"/>
        <v>gal</v>
      </c>
      <c r="T13" s="1"/>
      <c r="U13" s="53"/>
    </row>
    <row r="14" spans="1:21" x14ac:dyDescent="0.3">
      <c r="A14" s="82">
        <f>'1.GeneralesEmpresa'!A22</f>
        <v>45449</v>
      </c>
      <c r="B14" s="1"/>
      <c r="C14" s="1"/>
      <c r="D14" s="53"/>
      <c r="E14" s="11"/>
      <c r="G14" s="82">
        <f t="shared" si="0"/>
        <v>45449</v>
      </c>
      <c r="H14" s="1" t="str">
        <f t="shared" si="4"/>
        <v>Balón de 10kg</v>
      </c>
      <c r="I14" s="1"/>
      <c r="J14" s="9"/>
      <c r="K14" s="53">
        <f t="shared" si="1"/>
        <v>0</v>
      </c>
      <c r="M14" s="82">
        <f t="shared" si="2"/>
        <v>45449</v>
      </c>
      <c r="N14" s="46" t="str">
        <f t="shared" si="5"/>
        <v>m3</v>
      </c>
      <c r="O14" s="1"/>
      <c r="P14" s="53"/>
      <c r="R14" s="82">
        <f t="shared" si="3"/>
        <v>45449</v>
      </c>
      <c r="S14" s="46" t="str">
        <f t="shared" si="6"/>
        <v>gal</v>
      </c>
      <c r="T14" s="1"/>
      <c r="U14" s="53"/>
    </row>
    <row r="15" spans="1:21" x14ac:dyDescent="0.3">
      <c r="A15" s="82">
        <f>'1.GeneralesEmpresa'!A23</f>
        <v>45480</v>
      </c>
      <c r="B15" s="1"/>
      <c r="C15" s="1"/>
      <c r="D15" s="53"/>
      <c r="E15" s="11"/>
      <c r="G15" s="82">
        <f t="shared" si="0"/>
        <v>45480</v>
      </c>
      <c r="H15" s="1" t="str">
        <f t="shared" si="4"/>
        <v>Balón de 10kg</v>
      </c>
      <c r="I15" s="1"/>
      <c r="J15" s="9"/>
      <c r="K15" s="53">
        <f t="shared" si="1"/>
        <v>0</v>
      </c>
      <c r="M15" s="82">
        <f t="shared" si="2"/>
        <v>45480</v>
      </c>
      <c r="N15" s="46" t="str">
        <f t="shared" si="5"/>
        <v>m3</v>
      </c>
      <c r="O15" s="1"/>
      <c r="P15" s="53"/>
      <c r="R15" s="82">
        <f t="shared" si="3"/>
        <v>45480</v>
      </c>
      <c r="S15" s="46" t="str">
        <f t="shared" si="6"/>
        <v>gal</v>
      </c>
      <c r="T15" s="1"/>
      <c r="U15" s="53"/>
    </row>
    <row r="16" spans="1:21" x14ac:dyDescent="0.3">
      <c r="A16" s="82">
        <f>'1.GeneralesEmpresa'!A24</f>
        <v>45511</v>
      </c>
      <c r="B16" s="1"/>
      <c r="C16" s="1"/>
      <c r="D16" s="53"/>
      <c r="E16" s="11"/>
      <c r="G16" s="82">
        <f t="shared" si="0"/>
        <v>45511</v>
      </c>
      <c r="H16" s="1" t="str">
        <f t="shared" si="4"/>
        <v>Balón de 10kg</v>
      </c>
      <c r="I16" s="1"/>
      <c r="J16" s="9"/>
      <c r="K16" s="53">
        <f t="shared" si="1"/>
        <v>0</v>
      </c>
      <c r="M16" s="82">
        <f t="shared" si="2"/>
        <v>45511</v>
      </c>
      <c r="N16" s="46" t="str">
        <f t="shared" si="5"/>
        <v>m3</v>
      </c>
      <c r="O16" s="1"/>
      <c r="P16" s="53"/>
      <c r="R16" s="82">
        <f t="shared" si="3"/>
        <v>45511</v>
      </c>
      <c r="S16" s="46" t="str">
        <f t="shared" si="6"/>
        <v>gal</v>
      </c>
      <c r="T16" s="1"/>
      <c r="U16" s="53"/>
    </row>
    <row r="18" spans="1:6" x14ac:dyDescent="0.3">
      <c r="B18" s="492" t="s">
        <v>82</v>
      </c>
      <c r="C18" s="493"/>
      <c r="D18" s="466" t="s">
        <v>72</v>
      </c>
      <c r="E18" s="466"/>
      <c r="F18" s="500" t="s">
        <v>327</v>
      </c>
    </row>
    <row r="19" spans="1:6" x14ac:dyDescent="0.3">
      <c r="B19" s="114" t="s">
        <v>77</v>
      </c>
      <c r="C19" s="114" t="s">
        <v>78</v>
      </c>
      <c r="D19" s="114" t="s">
        <v>77</v>
      </c>
      <c r="E19" s="114" t="s">
        <v>78</v>
      </c>
      <c r="F19" s="489"/>
    </row>
    <row r="20" spans="1:6" x14ac:dyDescent="0.3">
      <c r="A20" s="115">
        <f>'2.HistóricoConsumoEnergético'!A5</f>
        <v>45170</v>
      </c>
      <c r="B20" s="1"/>
      <c r="C20" s="1"/>
      <c r="D20" s="55">
        <f>'2.HistóricoConsumoEnergético'!B5</f>
        <v>0</v>
      </c>
      <c r="E20" s="55">
        <f t="shared" ref="E20:E25" si="7">C5</f>
        <v>0</v>
      </c>
      <c r="F20" s="1"/>
    </row>
    <row r="21" spans="1:6" x14ac:dyDescent="0.3">
      <c r="A21" s="115">
        <f>'2.HistóricoConsumoEnergético'!A6</f>
        <v>45201</v>
      </c>
      <c r="B21" s="1"/>
      <c r="C21" s="1"/>
      <c r="D21" s="55">
        <f>'2.HistóricoConsumoEnergético'!B6</f>
        <v>0</v>
      </c>
      <c r="E21" s="55">
        <f t="shared" si="7"/>
        <v>0</v>
      </c>
      <c r="F21" s="1"/>
    </row>
    <row r="22" spans="1:6" x14ac:dyDescent="0.3">
      <c r="A22" s="115">
        <f>'2.HistóricoConsumoEnergético'!A7</f>
        <v>45232</v>
      </c>
      <c r="B22" s="1"/>
      <c r="C22" s="1"/>
      <c r="D22" s="55">
        <f>'2.HistóricoConsumoEnergético'!B7</f>
        <v>0</v>
      </c>
      <c r="E22" s="55">
        <f t="shared" si="7"/>
        <v>0</v>
      </c>
      <c r="F22" s="1"/>
    </row>
    <row r="23" spans="1:6" x14ac:dyDescent="0.3">
      <c r="A23" s="115">
        <f>'2.HistóricoConsumoEnergético'!A8</f>
        <v>45263</v>
      </c>
      <c r="B23" s="1"/>
      <c r="C23" s="1"/>
      <c r="D23" s="55">
        <f>'2.HistóricoConsumoEnergético'!B8</f>
        <v>0</v>
      </c>
      <c r="E23" s="55">
        <f t="shared" si="7"/>
        <v>0</v>
      </c>
      <c r="F23" s="1"/>
    </row>
    <row r="24" spans="1:6" x14ac:dyDescent="0.3">
      <c r="A24" s="115">
        <f>'2.HistóricoConsumoEnergético'!A9</f>
        <v>45294</v>
      </c>
      <c r="B24" s="1"/>
      <c r="C24" s="1"/>
      <c r="D24" s="55">
        <f>'2.HistóricoConsumoEnergético'!B9</f>
        <v>0</v>
      </c>
      <c r="E24" s="55">
        <f t="shared" si="7"/>
        <v>0</v>
      </c>
      <c r="F24" s="1"/>
    </row>
    <row r="25" spans="1:6" x14ac:dyDescent="0.3">
      <c r="A25" s="115">
        <f>'2.HistóricoConsumoEnergético'!A10</f>
        <v>45325</v>
      </c>
      <c r="B25" s="1"/>
      <c r="C25" s="1"/>
      <c r="D25" s="55">
        <f>'2.HistóricoConsumoEnergético'!B10</f>
        <v>0</v>
      </c>
      <c r="E25" s="55">
        <f t="shared" si="7"/>
        <v>0</v>
      </c>
      <c r="F25" s="1"/>
    </row>
    <row r="26" spans="1:6" x14ac:dyDescent="0.3">
      <c r="A26" s="115">
        <f>'2.HistóricoConsumoEnergético'!A11</f>
        <v>45356</v>
      </c>
      <c r="B26" s="1"/>
      <c r="C26" s="1"/>
      <c r="D26" s="55">
        <f>'2.HistóricoConsumoEnergético'!B11</f>
        <v>0</v>
      </c>
      <c r="E26" s="55">
        <f>C11</f>
        <v>0</v>
      </c>
      <c r="F26" s="1"/>
    </row>
    <row r="27" spans="1:6" x14ac:dyDescent="0.3">
      <c r="A27" s="115">
        <f>'2.HistóricoConsumoEnergético'!A12</f>
        <v>45387</v>
      </c>
      <c r="B27" s="1"/>
      <c r="C27" s="1"/>
      <c r="D27" s="55">
        <f>'2.HistóricoConsumoEnergético'!B12</f>
        <v>0</v>
      </c>
      <c r="E27" s="55">
        <f t="shared" ref="E27:E31" si="8">C12</f>
        <v>0</v>
      </c>
      <c r="F27" s="1"/>
    </row>
    <row r="28" spans="1:6" x14ac:dyDescent="0.3">
      <c r="A28" s="115">
        <f>'2.HistóricoConsumoEnergético'!A13</f>
        <v>45418</v>
      </c>
      <c r="B28" s="1"/>
      <c r="C28" s="1"/>
      <c r="D28" s="55">
        <f>'2.HistóricoConsumoEnergético'!B13</f>
        <v>0</v>
      </c>
      <c r="E28" s="55">
        <f t="shared" si="8"/>
        <v>0</v>
      </c>
      <c r="F28" s="1"/>
    </row>
    <row r="29" spans="1:6" x14ac:dyDescent="0.3">
      <c r="A29" s="115">
        <f>'2.HistóricoConsumoEnergético'!A14</f>
        <v>45449</v>
      </c>
      <c r="B29" s="1"/>
      <c r="C29" s="1"/>
      <c r="D29" s="55">
        <f>'2.HistóricoConsumoEnergético'!B14</f>
        <v>0</v>
      </c>
      <c r="E29" s="55">
        <f t="shared" si="8"/>
        <v>0</v>
      </c>
      <c r="F29" s="1"/>
    </row>
    <row r="30" spans="1:6" x14ac:dyDescent="0.3">
      <c r="A30" s="115">
        <f>'2.HistóricoConsumoEnergético'!A15</f>
        <v>45480</v>
      </c>
      <c r="B30" s="1"/>
      <c r="C30" s="1"/>
      <c r="D30" s="55">
        <f>'2.HistóricoConsumoEnergético'!B15</f>
        <v>0</v>
      </c>
      <c r="E30" s="55">
        <f t="shared" si="8"/>
        <v>0</v>
      </c>
      <c r="F30" s="1"/>
    </row>
    <row r="31" spans="1:6" x14ac:dyDescent="0.3">
      <c r="A31" s="115">
        <f>'2.HistóricoConsumoEnergético'!A16</f>
        <v>45511</v>
      </c>
      <c r="B31" s="1"/>
      <c r="C31" s="1"/>
      <c r="D31" s="55">
        <f>'2.HistóricoConsumoEnergético'!B16</f>
        <v>0</v>
      </c>
      <c r="E31" s="55">
        <f t="shared" si="8"/>
        <v>0</v>
      </c>
      <c r="F31" s="1"/>
    </row>
    <row r="33" spans="1:4" x14ac:dyDescent="0.3">
      <c r="A33" s="446" t="s">
        <v>83</v>
      </c>
      <c r="B33" s="446"/>
      <c r="C33" s="446"/>
      <c r="D33" s="10">
        <v>2</v>
      </c>
    </row>
    <row r="34" spans="1:4" x14ac:dyDescent="0.3">
      <c r="A34" s="446" t="s">
        <v>298</v>
      </c>
      <c r="B34" s="446"/>
      <c r="C34" s="446"/>
      <c r="D34" s="10">
        <v>30</v>
      </c>
    </row>
    <row r="35" spans="1:4" x14ac:dyDescent="0.3">
      <c r="A35" s="446" t="s">
        <v>299</v>
      </c>
      <c r="B35" s="446"/>
      <c r="C35" s="446"/>
      <c r="D35" s="10">
        <v>4</v>
      </c>
    </row>
  </sheetData>
  <mergeCells count="26">
    <mergeCell ref="A1:D2"/>
    <mergeCell ref="A3:A4"/>
    <mergeCell ref="A34:C34"/>
    <mergeCell ref="R1:U2"/>
    <mergeCell ref="R3:R4"/>
    <mergeCell ref="S3:S4"/>
    <mergeCell ref="T3:T4"/>
    <mergeCell ref="U3:U4"/>
    <mergeCell ref="M1:P2"/>
    <mergeCell ref="M3:M4"/>
    <mergeCell ref="N3:N4"/>
    <mergeCell ref="O3:O4"/>
    <mergeCell ref="P3:P4"/>
    <mergeCell ref="F18:F19"/>
    <mergeCell ref="A33:C33"/>
    <mergeCell ref="G1:K2"/>
    <mergeCell ref="A35:C35"/>
    <mergeCell ref="K3:K4"/>
    <mergeCell ref="D18:E18"/>
    <mergeCell ref="B18:C18"/>
    <mergeCell ref="H3:H4"/>
    <mergeCell ref="I3:I4"/>
    <mergeCell ref="J3:J4"/>
    <mergeCell ref="D3:D4"/>
    <mergeCell ref="B3:C3"/>
    <mergeCell ref="G3:G4"/>
  </mergeCell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0B5A3825-0DA2-444A-8845-75BA8D6EDE89}">
          <x14:formula1>
            <xm:f>Hoja1!$AA$1:$AA$6</xm:f>
          </x14:formula1>
          <xm:sqref>D33</xm:sqref>
        </x14:dataValidation>
        <x14:dataValidation type="list" allowBlank="1" showInputMessage="1" showErrorMessage="1" xr:uid="{EAAF6279-759F-4524-ACD2-D504650ADE8C}">
          <x14:formula1>
            <xm:f>Hoja1!$X$1:$X$4</xm:f>
          </x14:formula1>
          <xm:sqref>H5</xm:sqref>
        </x14:dataValidation>
        <x14:dataValidation type="list" allowBlank="1" showInputMessage="1" showErrorMessage="1" xr:uid="{FFF7928E-E242-4E61-A7E9-27F282801643}">
          <x14:formula1>
            <xm:f>Hoja1!$P$2:$P$5</xm:f>
          </x14:formula1>
          <xm:sqref>D34</xm:sqref>
        </x14:dataValidation>
        <x14:dataValidation type="list" allowBlank="1" showInputMessage="1" showErrorMessage="1" xr:uid="{8442142C-4A3D-48BF-88AD-B786693F4587}">
          <x14:formula1>
            <xm:f>Hoja1!$Q$2:$Q$7</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C6D42-8FFA-496A-AF6F-F3B7E93462A0}">
  <dimension ref="A3:V24"/>
  <sheetViews>
    <sheetView zoomScale="75" zoomScaleNormal="75" workbookViewId="0">
      <selection activeCell="C7" sqref="C7"/>
    </sheetView>
  </sheetViews>
  <sheetFormatPr baseColWidth="10" defaultColWidth="11" defaultRowHeight="14" x14ac:dyDescent="0.3"/>
  <cols>
    <col min="1" max="1" width="7.33203125" customWidth="1"/>
    <col min="2" max="2" width="17.6640625" customWidth="1"/>
    <col min="3" max="3" width="10.83203125" customWidth="1"/>
    <col min="4" max="4" width="11.1640625" style="138" customWidth="1"/>
    <col min="5" max="5" width="10.6640625" style="138" customWidth="1"/>
    <col min="6" max="6" width="11" style="138" customWidth="1"/>
    <col min="7" max="7" width="11.1640625" style="138" customWidth="1"/>
    <col min="9" max="9" width="17.4140625" customWidth="1"/>
    <col min="10" max="10" width="28.08203125" customWidth="1"/>
    <col min="11" max="11" width="11" customWidth="1"/>
    <col min="12" max="12" width="9.6640625" customWidth="1"/>
    <col min="13" max="13" width="10.6640625" customWidth="1"/>
    <col min="15" max="15" width="11.33203125" customWidth="1"/>
    <col min="16" max="16" width="20.1640625" customWidth="1"/>
    <col min="20" max="20" width="14.08203125" customWidth="1"/>
    <col min="21" max="21" width="12" customWidth="1"/>
    <col min="22" max="22" width="17.58203125" customWidth="1"/>
  </cols>
  <sheetData>
    <row r="3" spans="1:22" ht="15.5" x14ac:dyDescent="0.35">
      <c r="A3" s="501" t="s">
        <v>338</v>
      </c>
      <c r="B3" s="501"/>
      <c r="C3" s="501"/>
      <c r="D3" s="501"/>
      <c r="E3" s="501"/>
      <c r="F3" s="501"/>
      <c r="G3" s="501"/>
      <c r="I3" s="501" t="s">
        <v>339</v>
      </c>
      <c r="J3" s="501"/>
      <c r="K3" s="501"/>
      <c r="L3" s="501"/>
      <c r="M3" s="501"/>
      <c r="N3" s="501"/>
      <c r="O3" s="501"/>
      <c r="P3" s="502" t="s">
        <v>349</v>
      </c>
      <c r="Q3" s="502"/>
      <c r="R3" s="502"/>
      <c r="S3" s="502"/>
      <c r="T3" s="502"/>
      <c r="U3" s="502"/>
      <c r="V3" s="502"/>
    </row>
    <row r="4" spans="1:22" ht="59" customHeight="1" x14ac:dyDescent="0.3">
      <c r="A4" s="147" t="s">
        <v>335</v>
      </c>
      <c r="B4" s="147" t="s">
        <v>336</v>
      </c>
      <c r="C4" s="147" t="s">
        <v>498</v>
      </c>
      <c r="D4" s="147" t="s">
        <v>496</v>
      </c>
      <c r="E4" s="147" t="s">
        <v>499</v>
      </c>
      <c r="F4" s="147" t="s">
        <v>337</v>
      </c>
      <c r="G4" s="147" t="s">
        <v>348</v>
      </c>
      <c r="H4" s="144"/>
      <c r="I4" s="147" t="s">
        <v>341</v>
      </c>
      <c r="J4" s="147" t="s">
        <v>497</v>
      </c>
      <c r="K4" s="147" t="s">
        <v>504</v>
      </c>
      <c r="L4" s="147" t="s">
        <v>85</v>
      </c>
      <c r="M4" s="147" t="s">
        <v>499</v>
      </c>
      <c r="N4" s="147" t="s">
        <v>337</v>
      </c>
      <c r="O4" s="147" t="s">
        <v>348</v>
      </c>
      <c r="P4" s="145" t="s">
        <v>500</v>
      </c>
      <c r="Q4" s="145" t="s">
        <v>504</v>
      </c>
      <c r="R4" s="145" t="s">
        <v>85</v>
      </c>
      <c r="S4" s="145" t="s">
        <v>499</v>
      </c>
      <c r="T4" s="145" t="s">
        <v>353</v>
      </c>
      <c r="U4" s="145" t="s">
        <v>506</v>
      </c>
      <c r="V4" s="145" t="s">
        <v>373</v>
      </c>
    </row>
    <row r="5" spans="1:22" x14ac:dyDescent="0.3">
      <c r="A5" s="1">
        <v>1</v>
      </c>
      <c r="B5" s="309"/>
      <c r="C5" s="309"/>
      <c r="D5" s="310"/>
      <c r="E5" s="143"/>
      <c r="F5" s="310"/>
      <c r="G5" s="310"/>
      <c r="I5" s="325"/>
      <c r="J5" s="142"/>
      <c r="K5" s="1"/>
      <c r="L5" s="46"/>
      <c r="M5" s="143"/>
      <c r="N5" s="310"/>
      <c r="O5" s="310"/>
      <c r="P5" s="142"/>
      <c r="Q5" s="146" t="str">
        <f t="shared" ref="Q5:Q24" si="0">IF(K5="","-",K5)</f>
        <v>-</v>
      </c>
      <c r="R5" s="1"/>
      <c r="S5" s="150" t="str">
        <f t="shared" ref="S5:S24" si="1">IF(M5="","-",M5)</f>
        <v>-</v>
      </c>
      <c r="T5" s="9"/>
      <c r="U5" s="10"/>
      <c r="V5" s="166" t="str">
        <f>IF(Hoja2!AS2=0,"",Hoja2!AS2)</f>
        <v/>
      </c>
    </row>
    <row r="6" spans="1:22" x14ac:dyDescent="0.3">
      <c r="A6" s="1">
        <v>2</v>
      </c>
      <c r="B6" s="309"/>
      <c r="C6" s="309"/>
      <c r="D6" s="310"/>
      <c r="E6" s="143"/>
      <c r="F6" s="310"/>
      <c r="G6" s="310"/>
      <c r="I6" s="326"/>
      <c r="J6" s="142"/>
      <c r="K6" s="1"/>
      <c r="L6" s="46"/>
      <c r="M6" s="143"/>
      <c r="N6" s="310"/>
      <c r="O6" s="310"/>
      <c r="P6" s="142"/>
      <c r="Q6" s="146" t="str">
        <f t="shared" si="0"/>
        <v>-</v>
      </c>
      <c r="R6" s="1"/>
      <c r="S6" s="150" t="str">
        <f t="shared" si="1"/>
        <v>-</v>
      </c>
      <c r="T6" s="9"/>
      <c r="U6" s="10"/>
      <c r="V6" s="166" t="str">
        <f>IF(Hoja2!AS3=0,"",Hoja2!AS3)</f>
        <v/>
      </c>
    </row>
    <row r="7" spans="1:22" x14ac:dyDescent="0.3">
      <c r="A7" s="1">
        <v>3</v>
      </c>
      <c r="B7" s="309"/>
      <c r="C7" s="309"/>
      <c r="D7" s="310"/>
      <c r="E7" s="143"/>
      <c r="F7" s="46"/>
      <c r="G7" s="46"/>
      <c r="I7" s="326"/>
      <c r="J7" s="142"/>
      <c r="K7" s="1"/>
      <c r="L7" s="46"/>
      <c r="M7" s="143"/>
      <c r="N7" s="46"/>
      <c r="O7" s="46"/>
      <c r="P7" s="142"/>
      <c r="Q7" s="146" t="str">
        <f t="shared" si="0"/>
        <v>-</v>
      </c>
      <c r="R7" s="1"/>
      <c r="S7" s="150" t="str">
        <f t="shared" si="1"/>
        <v>-</v>
      </c>
      <c r="T7" s="9"/>
      <c r="U7" s="10"/>
      <c r="V7" s="166" t="str">
        <f>IF(Hoja2!AS4=0,"",Hoja2!AS4)</f>
        <v/>
      </c>
    </row>
    <row r="8" spans="1:22" x14ac:dyDescent="0.3">
      <c r="A8" s="1">
        <v>4</v>
      </c>
      <c r="B8" s="309"/>
      <c r="C8" s="309"/>
      <c r="D8" s="310"/>
      <c r="E8" s="143"/>
      <c r="F8" s="46"/>
      <c r="G8" s="46"/>
      <c r="I8" s="326"/>
      <c r="J8" s="142"/>
      <c r="K8" s="1"/>
      <c r="L8" s="46"/>
      <c r="M8" s="143"/>
      <c r="N8" s="46"/>
      <c r="O8" s="46"/>
      <c r="P8" s="142"/>
      <c r="Q8" s="146" t="str">
        <f t="shared" si="0"/>
        <v>-</v>
      </c>
      <c r="R8" s="1"/>
      <c r="S8" s="150" t="str">
        <f t="shared" si="1"/>
        <v>-</v>
      </c>
      <c r="T8" s="9"/>
      <c r="U8" s="10"/>
      <c r="V8" s="166" t="str">
        <f>IF(Hoja2!AS5=0,"",Hoja2!AS5)</f>
        <v/>
      </c>
    </row>
    <row r="9" spans="1:22" x14ac:dyDescent="0.3">
      <c r="A9" s="1">
        <v>5</v>
      </c>
      <c r="B9" s="1"/>
      <c r="C9" s="1"/>
      <c r="D9" s="46"/>
      <c r="E9" s="143"/>
      <c r="F9" s="46"/>
      <c r="G9" s="46"/>
      <c r="I9" s="1"/>
      <c r="J9" s="142"/>
      <c r="K9" s="1"/>
      <c r="L9" s="46"/>
      <c r="M9" s="143"/>
      <c r="N9" s="46"/>
      <c r="O9" s="46"/>
      <c r="P9" s="142"/>
      <c r="Q9" s="146" t="str">
        <f t="shared" si="0"/>
        <v>-</v>
      </c>
      <c r="R9" s="1"/>
      <c r="S9" s="150" t="str">
        <f t="shared" si="1"/>
        <v>-</v>
      </c>
      <c r="T9" s="9"/>
      <c r="U9" s="10"/>
      <c r="V9" s="166" t="str">
        <f>IF(Hoja2!AS6=0,"",Hoja2!AS6)</f>
        <v/>
      </c>
    </row>
    <row r="10" spans="1:22" x14ac:dyDescent="0.3">
      <c r="A10" s="1">
        <v>6</v>
      </c>
      <c r="B10" s="1"/>
      <c r="C10" s="1"/>
      <c r="D10" s="46"/>
      <c r="E10" s="143"/>
      <c r="F10" s="46"/>
      <c r="G10" s="46"/>
      <c r="I10" s="1"/>
      <c r="J10" s="142"/>
      <c r="K10" s="1"/>
      <c r="L10" s="46"/>
      <c r="M10" s="143"/>
      <c r="N10" s="46"/>
      <c r="O10" s="46"/>
      <c r="P10" s="142"/>
      <c r="Q10" s="146" t="str">
        <f t="shared" si="0"/>
        <v>-</v>
      </c>
      <c r="R10" s="1"/>
      <c r="S10" s="150" t="str">
        <f t="shared" si="1"/>
        <v>-</v>
      </c>
      <c r="T10" s="9"/>
      <c r="U10" s="10"/>
      <c r="V10" s="166" t="str">
        <f>IF(Hoja2!AS7=0,"",Hoja2!AS7)</f>
        <v/>
      </c>
    </row>
    <row r="11" spans="1:22" x14ac:dyDescent="0.3">
      <c r="A11" s="1">
        <v>7</v>
      </c>
      <c r="B11" s="1"/>
      <c r="C11" s="1"/>
      <c r="D11" s="46"/>
      <c r="E11" s="143"/>
      <c r="F11" s="46"/>
      <c r="G11" s="46"/>
      <c r="I11" s="1"/>
      <c r="J11" s="142"/>
      <c r="K11" s="1"/>
      <c r="L11" s="46"/>
      <c r="M11" s="143"/>
      <c r="N11" s="46"/>
      <c r="O11" s="46"/>
      <c r="P11" s="142"/>
      <c r="Q11" s="146" t="str">
        <f t="shared" si="0"/>
        <v>-</v>
      </c>
      <c r="R11" s="1"/>
      <c r="S11" s="150" t="str">
        <f t="shared" si="1"/>
        <v>-</v>
      </c>
      <c r="T11" s="9"/>
      <c r="U11" s="10"/>
      <c r="V11" s="166" t="str">
        <f>IF(Hoja2!AS8=0,"",Hoja2!AS8)</f>
        <v/>
      </c>
    </row>
    <row r="12" spans="1:22" x14ac:dyDescent="0.3">
      <c r="A12" s="1">
        <v>8</v>
      </c>
      <c r="B12" s="1"/>
      <c r="C12" s="1"/>
      <c r="D12" s="46"/>
      <c r="E12" s="143"/>
      <c r="F12" s="46"/>
      <c r="G12" s="46"/>
      <c r="I12" s="1"/>
      <c r="J12" s="142"/>
      <c r="K12" s="1"/>
      <c r="L12" s="46"/>
      <c r="M12" s="143"/>
      <c r="N12" s="46"/>
      <c r="O12" s="46"/>
      <c r="P12" s="142"/>
      <c r="Q12" s="146" t="str">
        <f t="shared" si="0"/>
        <v>-</v>
      </c>
      <c r="R12" s="1"/>
      <c r="S12" s="150" t="str">
        <f t="shared" si="1"/>
        <v>-</v>
      </c>
      <c r="T12" s="9"/>
      <c r="U12" s="10"/>
      <c r="V12" s="166" t="str">
        <f>IF(Hoja2!AS9=0,"",Hoja2!AS9)</f>
        <v/>
      </c>
    </row>
    <row r="13" spans="1:22" x14ac:dyDescent="0.3">
      <c r="A13" s="1">
        <v>9</v>
      </c>
      <c r="B13" s="1"/>
      <c r="C13" s="1"/>
      <c r="D13" s="46"/>
      <c r="E13" s="143"/>
      <c r="F13" s="46"/>
      <c r="G13" s="46"/>
      <c r="I13" s="1"/>
      <c r="J13" s="142"/>
      <c r="K13" s="1"/>
      <c r="L13" s="46"/>
      <c r="M13" s="143"/>
      <c r="N13" s="46"/>
      <c r="O13" s="46"/>
      <c r="P13" s="142"/>
      <c r="Q13" s="146" t="str">
        <f t="shared" si="0"/>
        <v>-</v>
      </c>
      <c r="R13" s="1"/>
      <c r="S13" s="150" t="str">
        <f t="shared" si="1"/>
        <v>-</v>
      </c>
      <c r="T13" s="9"/>
      <c r="U13" s="10"/>
      <c r="V13" s="166" t="str">
        <f>IF(Hoja2!AS10=0,"",Hoja2!AS10)</f>
        <v/>
      </c>
    </row>
    <row r="14" spans="1:22" x14ac:dyDescent="0.3">
      <c r="A14" s="1">
        <v>10</v>
      </c>
      <c r="B14" s="1"/>
      <c r="C14" s="1"/>
      <c r="D14" s="46"/>
      <c r="E14" s="143"/>
      <c r="F14" s="46"/>
      <c r="G14" s="46"/>
      <c r="I14" s="1"/>
      <c r="J14" s="142"/>
      <c r="K14" s="1"/>
      <c r="L14" s="46"/>
      <c r="M14" s="143"/>
      <c r="N14" s="46"/>
      <c r="O14" s="46"/>
      <c r="P14" s="142"/>
      <c r="Q14" s="146" t="str">
        <f t="shared" si="0"/>
        <v>-</v>
      </c>
      <c r="R14" s="1"/>
      <c r="S14" s="150" t="str">
        <f t="shared" si="1"/>
        <v>-</v>
      </c>
      <c r="T14" s="9"/>
      <c r="U14" s="10"/>
      <c r="V14" s="166" t="str">
        <f>IF(Hoja2!AS11=0,"",Hoja2!AS11)</f>
        <v/>
      </c>
    </row>
    <row r="15" spans="1:22" x14ac:dyDescent="0.3">
      <c r="A15" s="1">
        <v>11</v>
      </c>
      <c r="B15" s="1"/>
      <c r="C15" s="1"/>
      <c r="D15" s="46"/>
      <c r="E15" s="143"/>
      <c r="F15" s="46"/>
      <c r="G15" s="46"/>
      <c r="I15" s="1"/>
      <c r="J15" s="142"/>
      <c r="K15" s="1"/>
      <c r="L15" s="46"/>
      <c r="M15" s="143"/>
      <c r="N15" s="46"/>
      <c r="O15" s="46"/>
      <c r="P15" s="142"/>
      <c r="Q15" s="146" t="str">
        <f t="shared" si="0"/>
        <v>-</v>
      </c>
      <c r="R15" s="1"/>
      <c r="S15" s="150" t="str">
        <f t="shared" si="1"/>
        <v>-</v>
      </c>
      <c r="T15" s="9"/>
      <c r="U15" s="10"/>
      <c r="V15" s="166" t="str">
        <f>IF(Hoja2!AS12=0,"",Hoja2!AS12)</f>
        <v/>
      </c>
    </row>
    <row r="16" spans="1:22" x14ac:dyDescent="0.3">
      <c r="A16" s="1">
        <v>12</v>
      </c>
      <c r="B16" s="1"/>
      <c r="C16" s="1"/>
      <c r="D16" s="46"/>
      <c r="E16" s="143"/>
      <c r="F16" s="46"/>
      <c r="G16" s="46"/>
      <c r="I16" s="1"/>
      <c r="J16" s="142"/>
      <c r="K16" s="1"/>
      <c r="L16" s="46"/>
      <c r="M16" s="143"/>
      <c r="N16" s="46"/>
      <c r="O16" s="46"/>
      <c r="P16" s="142"/>
      <c r="Q16" s="146" t="str">
        <f t="shared" si="0"/>
        <v>-</v>
      </c>
      <c r="R16" s="1"/>
      <c r="S16" s="150" t="str">
        <f t="shared" si="1"/>
        <v>-</v>
      </c>
      <c r="T16" s="9"/>
      <c r="U16" s="10"/>
      <c r="V16" s="166" t="str">
        <f>IF(Hoja2!AS13=0,"",Hoja2!AS13)</f>
        <v/>
      </c>
    </row>
    <row r="17" spans="1:22" x14ac:dyDescent="0.3">
      <c r="A17" s="1">
        <v>13</v>
      </c>
      <c r="B17" s="1"/>
      <c r="C17" s="1"/>
      <c r="D17" s="46"/>
      <c r="E17" s="143"/>
      <c r="F17" s="46"/>
      <c r="G17" s="46"/>
      <c r="I17" s="1"/>
      <c r="J17" s="142"/>
      <c r="K17" s="1"/>
      <c r="L17" s="46"/>
      <c r="M17" s="143"/>
      <c r="N17" s="46"/>
      <c r="O17" s="46"/>
      <c r="P17" s="142"/>
      <c r="Q17" s="146" t="str">
        <f t="shared" si="0"/>
        <v>-</v>
      </c>
      <c r="R17" s="1"/>
      <c r="S17" s="150" t="str">
        <f t="shared" si="1"/>
        <v>-</v>
      </c>
      <c r="T17" s="9"/>
      <c r="U17" s="10"/>
      <c r="V17" s="166" t="str">
        <f>IF(Hoja2!AS14=0,"",Hoja2!AS14)</f>
        <v/>
      </c>
    </row>
    <row r="18" spans="1:22" x14ac:dyDescent="0.3">
      <c r="A18" s="1">
        <v>14</v>
      </c>
      <c r="B18" s="1"/>
      <c r="C18" s="1"/>
      <c r="D18" s="46"/>
      <c r="E18" s="143"/>
      <c r="F18" s="46"/>
      <c r="G18" s="46"/>
      <c r="I18" s="1"/>
      <c r="J18" s="142"/>
      <c r="K18" s="1"/>
      <c r="L18" s="46"/>
      <c r="M18" s="143"/>
      <c r="N18" s="46"/>
      <c r="O18" s="46"/>
      <c r="P18" s="142"/>
      <c r="Q18" s="146" t="str">
        <f t="shared" si="0"/>
        <v>-</v>
      </c>
      <c r="R18" s="1"/>
      <c r="S18" s="150" t="str">
        <f t="shared" si="1"/>
        <v>-</v>
      </c>
      <c r="T18" s="9"/>
      <c r="U18" s="10"/>
      <c r="V18" s="166" t="str">
        <f>IF(Hoja2!AS15=0,"",Hoja2!AS15)</f>
        <v/>
      </c>
    </row>
    <row r="19" spans="1:22" x14ac:dyDescent="0.3">
      <c r="A19" s="1">
        <v>15</v>
      </c>
      <c r="B19" s="1"/>
      <c r="C19" s="1"/>
      <c r="D19" s="46"/>
      <c r="E19" s="143"/>
      <c r="F19" s="46"/>
      <c r="G19" s="46"/>
      <c r="I19" s="1"/>
      <c r="J19" s="142"/>
      <c r="K19" s="1"/>
      <c r="L19" s="46"/>
      <c r="M19" s="143"/>
      <c r="N19" s="46"/>
      <c r="O19" s="46"/>
      <c r="P19" s="142"/>
      <c r="Q19" s="146" t="str">
        <f t="shared" si="0"/>
        <v>-</v>
      </c>
      <c r="R19" s="1"/>
      <c r="S19" s="150" t="str">
        <f t="shared" si="1"/>
        <v>-</v>
      </c>
      <c r="T19" s="9"/>
      <c r="U19" s="10"/>
      <c r="V19" s="166" t="str">
        <f>IF(Hoja2!AS16=0,"",Hoja2!AS16)</f>
        <v/>
      </c>
    </row>
    <row r="20" spans="1:22" x14ac:dyDescent="0.3">
      <c r="A20" s="1">
        <v>16</v>
      </c>
      <c r="B20" s="1"/>
      <c r="C20" s="1"/>
      <c r="D20" s="46"/>
      <c r="E20" s="143"/>
      <c r="F20" s="46"/>
      <c r="G20" s="46"/>
      <c r="I20" s="1"/>
      <c r="J20" s="142"/>
      <c r="K20" s="1"/>
      <c r="L20" s="46"/>
      <c r="M20" s="143"/>
      <c r="N20" s="46"/>
      <c r="O20" s="46"/>
      <c r="P20" s="142"/>
      <c r="Q20" s="146" t="str">
        <f t="shared" si="0"/>
        <v>-</v>
      </c>
      <c r="R20" s="1"/>
      <c r="S20" s="150" t="str">
        <f t="shared" si="1"/>
        <v>-</v>
      </c>
      <c r="T20" s="9"/>
      <c r="U20" s="10"/>
      <c r="V20" s="166" t="str">
        <f>IF(Hoja2!AS17=0,"",Hoja2!AS17)</f>
        <v/>
      </c>
    </row>
    <row r="21" spans="1:22" x14ac:dyDescent="0.3">
      <c r="A21" s="1">
        <v>17</v>
      </c>
      <c r="B21" s="1"/>
      <c r="C21" s="1"/>
      <c r="D21" s="46"/>
      <c r="E21" s="143"/>
      <c r="F21" s="46"/>
      <c r="G21" s="46"/>
      <c r="I21" s="165"/>
      <c r="J21" s="142"/>
      <c r="K21" s="1"/>
      <c r="L21" s="46"/>
      <c r="M21" s="143"/>
      <c r="N21" s="46"/>
      <c r="O21" s="46"/>
      <c r="P21" s="142"/>
      <c r="Q21" s="146" t="str">
        <f t="shared" si="0"/>
        <v>-</v>
      </c>
      <c r="R21" s="1"/>
      <c r="S21" s="150" t="str">
        <f t="shared" si="1"/>
        <v>-</v>
      </c>
      <c r="T21" s="9"/>
      <c r="U21" s="10"/>
      <c r="V21" s="166" t="str">
        <f>IF(Hoja2!AS18=0,"",Hoja2!AS18)</f>
        <v/>
      </c>
    </row>
    <row r="22" spans="1:22" x14ac:dyDescent="0.3">
      <c r="A22" s="1">
        <v>18</v>
      </c>
      <c r="B22" s="1"/>
      <c r="C22" s="1"/>
      <c r="D22" s="46"/>
      <c r="E22" s="143"/>
      <c r="F22" s="46"/>
      <c r="G22" s="46"/>
      <c r="I22" s="1"/>
      <c r="J22" s="142"/>
      <c r="K22" s="1"/>
      <c r="L22" s="46"/>
      <c r="M22" s="143"/>
      <c r="N22" s="46"/>
      <c r="O22" s="46"/>
      <c r="P22" s="142"/>
      <c r="Q22" s="146" t="str">
        <f t="shared" si="0"/>
        <v>-</v>
      </c>
      <c r="R22" s="1"/>
      <c r="S22" s="150" t="str">
        <f t="shared" si="1"/>
        <v>-</v>
      </c>
      <c r="T22" s="9"/>
      <c r="U22" s="10"/>
      <c r="V22" s="166" t="str">
        <f>IF(Hoja2!AS19=0,"",Hoja2!AS19)</f>
        <v/>
      </c>
    </row>
    <row r="23" spans="1:22" x14ac:dyDescent="0.3">
      <c r="A23" s="1">
        <v>19</v>
      </c>
      <c r="B23" s="1"/>
      <c r="C23" s="1"/>
      <c r="D23" s="46"/>
      <c r="E23" s="143"/>
      <c r="F23" s="46"/>
      <c r="G23" s="46"/>
      <c r="I23" s="1"/>
      <c r="J23" s="142"/>
      <c r="K23" s="1"/>
      <c r="L23" s="46"/>
      <c r="M23" s="143"/>
      <c r="N23" s="46"/>
      <c r="O23" s="46"/>
      <c r="P23" s="142"/>
      <c r="Q23" s="146" t="str">
        <f t="shared" si="0"/>
        <v>-</v>
      </c>
      <c r="R23" s="1"/>
      <c r="S23" s="150" t="str">
        <f t="shared" si="1"/>
        <v>-</v>
      </c>
      <c r="T23" s="9"/>
      <c r="U23" s="10"/>
      <c r="V23" s="166" t="str">
        <f>IF(Hoja2!AS20=0,"",Hoja2!AS20)</f>
        <v/>
      </c>
    </row>
    <row r="24" spans="1:22" x14ac:dyDescent="0.3">
      <c r="A24" s="1">
        <v>20</v>
      </c>
      <c r="B24" s="1"/>
      <c r="C24" s="1"/>
      <c r="D24" s="46"/>
      <c r="E24" s="143"/>
      <c r="F24" s="46"/>
      <c r="G24" s="46"/>
      <c r="I24" s="1"/>
      <c r="J24" s="142"/>
      <c r="K24" s="1"/>
      <c r="L24" s="46"/>
      <c r="M24" s="143"/>
      <c r="N24" s="46"/>
      <c r="O24" s="46"/>
      <c r="P24" s="142"/>
      <c r="Q24" s="146" t="str">
        <f t="shared" si="0"/>
        <v>-</v>
      </c>
      <c r="R24" s="1"/>
      <c r="S24" s="150" t="str">
        <f t="shared" si="1"/>
        <v>-</v>
      </c>
      <c r="T24" s="9"/>
      <c r="U24" s="10"/>
      <c r="V24" s="166" t="str">
        <f>IF(Hoja2!AS21=0,"",Hoja2!AS21)</f>
        <v/>
      </c>
    </row>
  </sheetData>
  <mergeCells count="3">
    <mergeCell ref="A3:G3"/>
    <mergeCell ref="I3:O3"/>
    <mergeCell ref="P3:V3"/>
  </mergeCell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C1375616-BD6D-4172-8A91-5F83AECABFDF}">
          <x14:formula1>
            <xm:f>Hoja1!$X$7:$X$8</xm:f>
          </x14:formula1>
          <xm:sqref>E5:E24 M5:M24</xm:sqref>
        </x14:dataValidation>
        <x14:dataValidation type="list" allowBlank="1" showInputMessage="1" showErrorMessage="1" xr:uid="{18F04111-AD43-4554-98BD-16D3E84BF9ED}">
          <x14:formula1>
            <xm:f>Hoja1!$X$11:$X$16</xm:f>
          </x14:formula1>
          <xm:sqref>J5:J24</xm:sqref>
        </x14:dataValidation>
        <x14:dataValidation type="list" allowBlank="1" showInputMessage="1" showErrorMessage="1" xr:uid="{BEE14F90-DCD7-4460-BD34-FA616492F70B}">
          <x14:formula1>
            <xm:f>Hoja1!$X$18:$X$25</xm:f>
          </x14:formula1>
          <xm:sqref>U5:U24</xm:sqref>
        </x14:dataValidation>
        <x14:dataValidation type="list" allowBlank="1" showInputMessage="1" showErrorMessage="1" xr:uid="{FE1F5104-8289-46F3-8CF3-02B059F6FD18}">
          <x14:formula1>
            <xm:f>Hoja1!$X$16</xm:f>
          </x14:formula1>
          <xm:sqref>P5:P24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7660-E00B-4455-AE06-AA5D064E72C0}">
  <dimension ref="A1:Q57"/>
  <sheetViews>
    <sheetView zoomScale="80" zoomScaleNormal="80" workbookViewId="0">
      <selection activeCell="L12" sqref="L12"/>
    </sheetView>
  </sheetViews>
  <sheetFormatPr baseColWidth="10" defaultColWidth="11" defaultRowHeight="14" x14ac:dyDescent="0.3"/>
  <cols>
    <col min="5" max="5" width="13.6640625" customWidth="1"/>
    <col min="6" max="6" width="12.83203125" customWidth="1"/>
    <col min="7" max="7" width="16.08203125" customWidth="1"/>
    <col min="10" max="12" width="7.83203125" customWidth="1"/>
    <col min="14" max="14" width="13.6640625" customWidth="1"/>
  </cols>
  <sheetData>
    <row r="1" spans="1:17" x14ac:dyDescent="0.3">
      <c r="B1" s="71"/>
    </row>
    <row r="2" spans="1:17" x14ac:dyDescent="0.3">
      <c r="K2" s="72"/>
      <c r="N2">
        <f>10/12.63</f>
        <v>0.79176563737133798</v>
      </c>
    </row>
    <row r="3" spans="1:17" x14ac:dyDescent="0.3">
      <c r="A3" s="136" t="s">
        <v>334</v>
      </c>
    </row>
    <row r="5" spans="1:17" ht="14.15" customHeight="1" x14ac:dyDescent="0.3">
      <c r="A5" s="405" t="s">
        <v>84</v>
      </c>
      <c r="B5" s="405"/>
      <c r="C5" s="405"/>
      <c r="D5" s="507" t="s">
        <v>501</v>
      </c>
      <c r="E5" s="405"/>
      <c r="F5" s="406" t="s">
        <v>86</v>
      </c>
      <c r="G5" s="406" t="s">
        <v>87</v>
      </c>
      <c r="H5" s="511" t="s">
        <v>88</v>
      </c>
      <c r="I5" s="311" t="s">
        <v>481</v>
      </c>
      <c r="J5" s="503" t="s">
        <v>371</v>
      </c>
      <c r="K5" s="504"/>
      <c r="L5" s="504"/>
      <c r="M5" s="504"/>
      <c r="N5" s="515" t="s">
        <v>505</v>
      </c>
      <c r="O5" s="516" t="s">
        <v>372</v>
      </c>
      <c r="P5" s="516"/>
      <c r="Q5" s="516"/>
    </row>
    <row r="6" spans="1:17" ht="49" customHeight="1" x14ac:dyDescent="0.3">
      <c r="A6" s="405"/>
      <c r="B6" s="405"/>
      <c r="C6" s="405"/>
      <c r="D6" s="396" t="s">
        <v>502</v>
      </c>
      <c r="E6" s="321" t="s">
        <v>499</v>
      </c>
      <c r="F6" s="406"/>
      <c r="G6" s="406"/>
      <c r="H6" s="512"/>
      <c r="I6" s="322" t="s">
        <v>480</v>
      </c>
      <c r="J6" s="312" t="s">
        <v>89</v>
      </c>
      <c r="K6" s="312" t="s">
        <v>90</v>
      </c>
      <c r="L6" s="312" t="s">
        <v>91</v>
      </c>
      <c r="M6" s="6"/>
      <c r="N6" s="476"/>
      <c r="O6" s="323" t="s">
        <v>89</v>
      </c>
      <c r="P6" s="323" t="s">
        <v>90</v>
      </c>
      <c r="Q6" s="323" t="s">
        <v>91</v>
      </c>
    </row>
    <row r="7" spans="1:17" x14ac:dyDescent="0.3">
      <c r="A7" s="576"/>
      <c r="B7" s="506"/>
      <c r="C7" s="506"/>
      <c r="D7" s="164"/>
      <c r="E7" s="133"/>
      <c r="F7" s="1"/>
      <c r="G7" s="1"/>
      <c r="H7" s="512"/>
      <c r="I7" s="10">
        <v>220</v>
      </c>
      <c r="J7" s="1"/>
      <c r="K7" s="1"/>
      <c r="L7" s="1"/>
      <c r="M7" s="86" t="str">
        <f>IF(L7="","Monofásico","")</f>
        <v>Monofásico</v>
      </c>
      <c r="N7" s="164" t="str">
        <f>IFERROR(Hoja1!DK6,"-")</f>
        <v>-</v>
      </c>
      <c r="O7" s="1"/>
      <c r="P7" s="1"/>
      <c r="Q7" s="1"/>
    </row>
    <row r="8" spans="1:17" x14ac:dyDescent="0.3">
      <c r="A8" s="508"/>
      <c r="B8" s="506"/>
      <c r="C8" s="506"/>
      <c r="D8" s="164"/>
      <c r="E8" s="133"/>
      <c r="F8" s="1"/>
      <c r="G8" s="1"/>
      <c r="H8" s="512"/>
      <c r="I8" s="10">
        <v>220</v>
      </c>
      <c r="J8" s="1"/>
      <c r="K8" s="1"/>
      <c r="L8" s="1"/>
      <c r="M8" s="86" t="str">
        <f t="shared" ref="M8:M29" si="0">IF(L8="","Monofásico","")</f>
        <v>Monofásico</v>
      </c>
      <c r="N8" s="164" t="str">
        <f>IFERROR(Hoja1!DK7,"-")</f>
        <v>-</v>
      </c>
      <c r="O8" s="1"/>
      <c r="P8" s="1"/>
      <c r="Q8" s="1"/>
    </row>
    <row r="9" spans="1:17" x14ac:dyDescent="0.3">
      <c r="A9" s="508"/>
      <c r="B9" s="506"/>
      <c r="C9" s="506"/>
      <c r="D9" s="164"/>
      <c r="E9" s="133"/>
      <c r="F9" s="1"/>
      <c r="G9" s="1"/>
      <c r="H9" s="512"/>
      <c r="I9" s="10">
        <v>220</v>
      </c>
      <c r="J9" s="1"/>
      <c r="K9" s="1"/>
      <c r="L9" s="1"/>
      <c r="M9" s="86" t="str">
        <f t="shared" si="0"/>
        <v>Monofásico</v>
      </c>
      <c r="N9" s="164" t="str">
        <f>IFERROR(Hoja1!DK8,"-")</f>
        <v>-</v>
      </c>
      <c r="O9" s="1"/>
      <c r="P9" s="1"/>
      <c r="Q9" s="1"/>
    </row>
    <row r="10" spans="1:17" x14ac:dyDescent="0.3">
      <c r="A10" s="506"/>
      <c r="B10" s="506"/>
      <c r="C10" s="506"/>
      <c r="D10" s="164"/>
      <c r="E10" s="133"/>
      <c r="F10" s="1"/>
      <c r="G10" s="1"/>
      <c r="H10" s="512"/>
      <c r="I10" s="10">
        <v>220</v>
      </c>
      <c r="J10" s="1"/>
      <c r="K10" s="1"/>
      <c r="L10" s="1"/>
      <c r="M10" s="98" t="str">
        <f t="shared" si="0"/>
        <v>Monofásico</v>
      </c>
      <c r="N10" s="164" t="str">
        <f>IFERROR(Hoja1!DK9,"-")</f>
        <v>-</v>
      </c>
      <c r="O10" s="1"/>
      <c r="P10" s="1"/>
      <c r="Q10" s="1"/>
    </row>
    <row r="11" spans="1:17" x14ac:dyDescent="0.3">
      <c r="A11" s="506"/>
      <c r="B11" s="506"/>
      <c r="C11" s="506"/>
      <c r="D11" s="164"/>
      <c r="E11" s="133"/>
      <c r="F11" s="1"/>
      <c r="G11" s="1"/>
      <c r="H11" s="512"/>
      <c r="I11" s="10">
        <v>220</v>
      </c>
      <c r="J11" s="1"/>
      <c r="K11" s="1"/>
      <c r="L11" s="1"/>
      <c r="M11" s="98" t="str">
        <f t="shared" si="0"/>
        <v>Monofásico</v>
      </c>
      <c r="N11" s="164" t="str">
        <f>IFERROR(Hoja1!DK10,"-")</f>
        <v>-</v>
      </c>
      <c r="O11" s="1"/>
      <c r="P11" s="1"/>
      <c r="Q11" s="1"/>
    </row>
    <row r="12" spans="1:17" x14ac:dyDescent="0.3">
      <c r="A12" s="505"/>
      <c r="B12" s="505"/>
      <c r="C12" s="505"/>
      <c r="D12" s="164"/>
      <c r="E12" s="133"/>
      <c r="F12" s="1"/>
      <c r="G12" s="1"/>
      <c r="H12" s="512"/>
      <c r="I12" s="10">
        <v>220</v>
      </c>
      <c r="J12" s="1"/>
      <c r="K12" s="1"/>
      <c r="L12" s="1"/>
      <c r="M12" s="98" t="str">
        <f t="shared" si="0"/>
        <v>Monofásico</v>
      </c>
      <c r="N12" s="164" t="str">
        <f>IFERROR(Hoja1!DK11,"-")</f>
        <v>-</v>
      </c>
      <c r="O12" s="1"/>
      <c r="P12" s="1"/>
      <c r="Q12" s="1"/>
    </row>
    <row r="13" spans="1:17" x14ac:dyDescent="0.3">
      <c r="A13" s="505"/>
      <c r="B13" s="505"/>
      <c r="C13" s="505"/>
      <c r="D13" s="164"/>
      <c r="E13" s="133"/>
      <c r="F13" s="1"/>
      <c r="G13" s="1"/>
      <c r="H13" s="512"/>
      <c r="I13" s="10">
        <v>220</v>
      </c>
      <c r="J13" s="1"/>
      <c r="K13" s="1"/>
      <c r="L13" s="1"/>
      <c r="M13" s="98" t="str">
        <f t="shared" si="0"/>
        <v>Monofásico</v>
      </c>
      <c r="N13" s="164" t="str">
        <f>IFERROR(Hoja1!DK12,"-")</f>
        <v>-</v>
      </c>
      <c r="O13" s="1"/>
      <c r="P13" s="1"/>
      <c r="Q13" s="1"/>
    </row>
    <row r="14" spans="1:17" x14ac:dyDescent="0.3">
      <c r="A14" s="505"/>
      <c r="B14" s="505"/>
      <c r="C14" s="505"/>
      <c r="D14" s="164"/>
      <c r="E14" s="133"/>
      <c r="F14" s="1"/>
      <c r="G14" s="1"/>
      <c r="H14" s="512"/>
      <c r="I14" s="10">
        <v>220</v>
      </c>
      <c r="J14" s="1"/>
      <c r="K14" s="1"/>
      <c r="L14" s="1"/>
      <c r="M14" s="98" t="str">
        <f t="shared" si="0"/>
        <v>Monofásico</v>
      </c>
      <c r="N14" s="164" t="str">
        <f>IFERROR(Hoja1!DK13,"-")</f>
        <v>-</v>
      </c>
      <c r="O14" s="1"/>
      <c r="P14" s="1"/>
      <c r="Q14" s="1"/>
    </row>
    <row r="15" spans="1:17" x14ac:dyDescent="0.3">
      <c r="A15" s="505"/>
      <c r="B15" s="505"/>
      <c r="C15" s="505"/>
      <c r="D15" s="164"/>
      <c r="E15" s="133"/>
      <c r="F15" s="1"/>
      <c r="G15" s="1"/>
      <c r="H15" s="512"/>
      <c r="I15" s="10">
        <v>220</v>
      </c>
      <c r="J15" s="1"/>
      <c r="K15" s="1"/>
      <c r="L15" s="1"/>
      <c r="M15" s="98" t="str">
        <f t="shared" si="0"/>
        <v>Monofásico</v>
      </c>
      <c r="N15" s="164" t="str">
        <f>IFERROR(Hoja1!DK14,"-")</f>
        <v>-</v>
      </c>
      <c r="O15" s="1"/>
      <c r="P15" s="1"/>
      <c r="Q15" s="1"/>
    </row>
    <row r="16" spans="1:17" x14ac:dyDescent="0.3">
      <c r="A16" s="505"/>
      <c r="B16" s="505"/>
      <c r="C16" s="505"/>
      <c r="D16" s="164"/>
      <c r="E16" s="133"/>
      <c r="F16" s="1"/>
      <c r="G16" s="1"/>
      <c r="H16" s="512"/>
      <c r="I16" s="10">
        <v>220</v>
      </c>
      <c r="J16" s="1"/>
      <c r="K16" s="1"/>
      <c r="L16" s="1"/>
      <c r="M16" s="98" t="str">
        <f t="shared" si="0"/>
        <v>Monofásico</v>
      </c>
      <c r="N16" s="164" t="str">
        <f>IFERROR(Hoja1!DK15,"-")</f>
        <v>-</v>
      </c>
      <c r="O16" s="1"/>
      <c r="P16" s="1"/>
      <c r="Q16" s="1"/>
    </row>
    <row r="17" spans="1:17" x14ac:dyDescent="0.3">
      <c r="A17" s="505"/>
      <c r="B17" s="505"/>
      <c r="C17" s="505"/>
      <c r="D17" s="164"/>
      <c r="E17" s="133"/>
      <c r="F17" s="1"/>
      <c r="G17" s="1"/>
      <c r="H17" s="512"/>
      <c r="I17" s="10">
        <v>220</v>
      </c>
      <c r="J17" s="1"/>
      <c r="K17" s="1"/>
      <c r="L17" s="1"/>
      <c r="M17" s="98" t="str">
        <f t="shared" si="0"/>
        <v>Monofásico</v>
      </c>
      <c r="N17" s="164" t="str">
        <f>IFERROR(Hoja1!DK16,"-")</f>
        <v>-</v>
      </c>
      <c r="O17" s="1"/>
      <c r="P17" s="1"/>
      <c r="Q17" s="1"/>
    </row>
    <row r="18" spans="1:17" x14ac:dyDescent="0.3">
      <c r="A18" s="505"/>
      <c r="B18" s="505"/>
      <c r="C18" s="505"/>
      <c r="D18" s="164"/>
      <c r="E18" s="133"/>
      <c r="F18" s="1"/>
      <c r="G18" s="1"/>
      <c r="H18" s="512"/>
      <c r="I18" s="10">
        <v>220</v>
      </c>
      <c r="J18" s="1"/>
      <c r="K18" s="1"/>
      <c r="L18" s="1"/>
      <c r="M18" s="98" t="str">
        <f t="shared" si="0"/>
        <v>Monofásico</v>
      </c>
      <c r="N18" s="164" t="str">
        <f>IFERROR(Hoja1!DK17,"-")</f>
        <v>-</v>
      </c>
      <c r="O18" s="1"/>
      <c r="P18" s="1"/>
      <c r="Q18" s="1"/>
    </row>
    <row r="19" spans="1:17" x14ac:dyDescent="0.3">
      <c r="A19" s="505"/>
      <c r="B19" s="505"/>
      <c r="C19" s="505"/>
      <c r="D19" s="164"/>
      <c r="E19" s="133"/>
      <c r="F19" s="1"/>
      <c r="G19" s="1"/>
      <c r="H19" s="512"/>
      <c r="I19" s="10">
        <v>220</v>
      </c>
      <c r="J19" s="1"/>
      <c r="K19" s="1"/>
      <c r="L19" s="1"/>
      <c r="M19" s="98" t="str">
        <f t="shared" si="0"/>
        <v>Monofásico</v>
      </c>
      <c r="N19" s="164" t="str">
        <f>IFERROR(Hoja1!DK18,"-")</f>
        <v>-</v>
      </c>
      <c r="O19" s="1"/>
      <c r="P19" s="1"/>
      <c r="Q19" s="1"/>
    </row>
    <row r="20" spans="1:17" x14ac:dyDescent="0.3">
      <c r="A20" s="505"/>
      <c r="B20" s="505"/>
      <c r="C20" s="505"/>
      <c r="D20" s="164"/>
      <c r="E20" s="133"/>
      <c r="F20" s="1"/>
      <c r="G20" s="1"/>
      <c r="H20" s="512"/>
      <c r="I20" s="10">
        <v>220</v>
      </c>
      <c r="J20" s="1"/>
      <c r="K20" s="1"/>
      <c r="L20" s="1"/>
      <c r="M20" s="98" t="str">
        <f t="shared" si="0"/>
        <v>Monofásico</v>
      </c>
      <c r="N20" s="164" t="str">
        <f>IFERROR(Hoja1!DK19,"-")</f>
        <v>-</v>
      </c>
      <c r="O20" s="1"/>
      <c r="P20" s="1"/>
      <c r="Q20" s="1"/>
    </row>
    <row r="21" spans="1:17" x14ac:dyDescent="0.3">
      <c r="A21" s="505"/>
      <c r="B21" s="505"/>
      <c r="C21" s="505"/>
      <c r="D21" s="164"/>
      <c r="E21" s="133"/>
      <c r="F21" s="1"/>
      <c r="G21" s="1"/>
      <c r="H21" s="512"/>
      <c r="I21" s="10">
        <v>220</v>
      </c>
      <c r="J21" s="1"/>
      <c r="K21" s="1"/>
      <c r="L21" s="1"/>
      <c r="M21" s="98" t="str">
        <f t="shared" si="0"/>
        <v>Monofásico</v>
      </c>
      <c r="N21" s="164" t="str">
        <f>IFERROR(Hoja1!DK20,"-")</f>
        <v>-</v>
      </c>
      <c r="O21" s="1"/>
      <c r="P21" s="1"/>
      <c r="Q21" s="1"/>
    </row>
    <row r="22" spans="1:17" x14ac:dyDescent="0.3">
      <c r="A22" s="505"/>
      <c r="B22" s="505"/>
      <c r="C22" s="505"/>
      <c r="D22" s="164"/>
      <c r="E22" s="133"/>
      <c r="F22" s="1"/>
      <c r="G22" s="1"/>
      <c r="H22" s="512"/>
      <c r="I22" s="10">
        <v>220</v>
      </c>
      <c r="J22" s="1"/>
      <c r="K22" s="1"/>
      <c r="L22" s="1"/>
      <c r="M22" s="98" t="str">
        <f t="shared" si="0"/>
        <v>Monofásico</v>
      </c>
      <c r="N22" s="164" t="str">
        <f>IFERROR(Hoja1!DK21,"-")</f>
        <v>-</v>
      </c>
      <c r="O22" s="1"/>
      <c r="P22" s="1"/>
      <c r="Q22" s="1"/>
    </row>
    <row r="23" spans="1:17" x14ac:dyDescent="0.3">
      <c r="A23" s="505"/>
      <c r="B23" s="505"/>
      <c r="C23" s="505"/>
      <c r="D23" s="164"/>
      <c r="E23" s="133"/>
      <c r="F23" s="1"/>
      <c r="G23" s="1"/>
      <c r="H23" s="512"/>
      <c r="I23" s="10">
        <v>220</v>
      </c>
      <c r="J23" s="1"/>
      <c r="K23" s="1"/>
      <c r="L23" s="1"/>
      <c r="M23" s="98" t="str">
        <f t="shared" si="0"/>
        <v>Monofásico</v>
      </c>
      <c r="N23" s="164" t="str">
        <f>IFERROR(Hoja1!DK22,"-")</f>
        <v>-</v>
      </c>
      <c r="O23" s="1"/>
      <c r="P23" s="1"/>
      <c r="Q23" s="1"/>
    </row>
    <row r="24" spans="1:17" x14ac:dyDescent="0.3">
      <c r="A24" s="505"/>
      <c r="B24" s="505"/>
      <c r="C24" s="505"/>
      <c r="D24" s="164"/>
      <c r="E24" s="133"/>
      <c r="F24" s="1"/>
      <c r="G24" s="1"/>
      <c r="H24" s="512"/>
      <c r="I24" s="10">
        <v>220</v>
      </c>
      <c r="J24" s="1"/>
      <c r="K24" s="1"/>
      <c r="L24" s="1"/>
      <c r="M24" s="98" t="str">
        <f t="shared" si="0"/>
        <v>Monofásico</v>
      </c>
      <c r="N24" s="164" t="str">
        <f>IFERROR(Hoja1!DK23,"-")</f>
        <v>-</v>
      </c>
      <c r="O24" s="1"/>
      <c r="P24" s="1"/>
      <c r="Q24" s="1"/>
    </row>
    <row r="25" spans="1:17" x14ac:dyDescent="0.3">
      <c r="A25" s="505"/>
      <c r="B25" s="505"/>
      <c r="C25" s="505"/>
      <c r="D25" s="164"/>
      <c r="E25" s="133"/>
      <c r="F25" s="1"/>
      <c r="G25" s="1"/>
      <c r="H25" s="512"/>
      <c r="I25" s="10">
        <v>220</v>
      </c>
      <c r="J25" s="1"/>
      <c r="K25" s="1"/>
      <c r="L25" s="1"/>
      <c r="M25" s="98" t="str">
        <f t="shared" si="0"/>
        <v>Monofásico</v>
      </c>
      <c r="N25" s="164" t="str">
        <f>IFERROR(Hoja1!DK24,"-")</f>
        <v>-</v>
      </c>
      <c r="O25" s="1"/>
      <c r="P25" s="1"/>
      <c r="Q25" s="1"/>
    </row>
    <row r="26" spans="1:17" x14ac:dyDescent="0.3">
      <c r="A26" s="505"/>
      <c r="B26" s="505"/>
      <c r="C26" s="505"/>
      <c r="D26" s="164"/>
      <c r="E26" s="133"/>
      <c r="F26" s="1"/>
      <c r="G26" s="1"/>
      <c r="H26" s="512"/>
      <c r="I26" s="10">
        <v>220</v>
      </c>
      <c r="J26" s="1"/>
      <c r="K26" s="1"/>
      <c r="L26" s="1"/>
      <c r="M26" s="98" t="str">
        <f t="shared" si="0"/>
        <v>Monofásico</v>
      </c>
      <c r="N26" s="164" t="str">
        <f>IFERROR(Hoja1!DK25,"-")</f>
        <v>-</v>
      </c>
      <c r="O26" s="1"/>
      <c r="P26" s="1"/>
      <c r="Q26" s="1"/>
    </row>
    <row r="27" spans="1:17" x14ac:dyDescent="0.3">
      <c r="A27" s="505"/>
      <c r="B27" s="505"/>
      <c r="C27" s="505"/>
      <c r="D27" s="164"/>
      <c r="E27" s="133"/>
      <c r="F27" s="1"/>
      <c r="G27" s="1"/>
      <c r="H27" s="512"/>
      <c r="I27" s="10">
        <v>220</v>
      </c>
      <c r="J27" s="1"/>
      <c r="K27" s="1"/>
      <c r="L27" s="1"/>
      <c r="M27" s="98" t="str">
        <f t="shared" si="0"/>
        <v>Monofásico</v>
      </c>
      <c r="N27" s="164" t="str">
        <f>IFERROR(Hoja1!DK26,"-")</f>
        <v>-</v>
      </c>
      <c r="O27" s="1"/>
      <c r="P27" s="1"/>
      <c r="Q27" s="1"/>
    </row>
    <row r="28" spans="1:17" x14ac:dyDescent="0.3">
      <c r="A28" s="505"/>
      <c r="B28" s="505"/>
      <c r="C28" s="505"/>
      <c r="D28" s="164"/>
      <c r="E28" s="133"/>
      <c r="F28" s="1"/>
      <c r="G28" s="1"/>
      <c r="H28" s="512"/>
      <c r="I28" s="10">
        <v>220</v>
      </c>
      <c r="J28" s="1"/>
      <c r="K28" s="1"/>
      <c r="L28" s="1"/>
      <c r="M28" s="98" t="str">
        <f t="shared" si="0"/>
        <v>Monofásico</v>
      </c>
      <c r="N28" s="164" t="str">
        <f>IFERROR(Hoja1!DK27,"-")</f>
        <v>-</v>
      </c>
      <c r="O28" s="1"/>
      <c r="P28" s="1"/>
      <c r="Q28" s="1"/>
    </row>
    <row r="29" spans="1:17" x14ac:dyDescent="0.3">
      <c r="A29" s="505"/>
      <c r="B29" s="505"/>
      <c r="C29" s="505"/>
      <c r="D29" s="164"/>
      <c r="E29" s="133"/>
      <c r="F29" s="1"/>
      <c r="G29" s="1"/>
      <c r="H29" s="513"/>
      <c r="I29" s="10">
        <v>220</v>
      </c>
      <c r="J29" s="1"/>
      <c r="K29" s="1"/>
      <c r="L29" s="1"/>
      <c r="M29" s="98" t="str">
        <f t="shared" si="0"/>
        <v>Monofásico</v>
      </c>
      <c r="N29" s="164" t="str">
        <f>IFERROR(Hoja1!DK28,"-")</f>
        <v>-</v>
      </c>
      <c r="O29" s="1"/>
      <c r="P29" s="1"/>
      <c r="Q29" s="1"/>
    </row>
    <row r="30" spans="1:17" x14ac:dyDescent="0.3">
      <c r="A30" s="510" t="s">
        <v>95</v>
      </c>
      <c r="B30" s="510"/>
      <c r="C30" s="510"/>
      <c r="D30" s="510"/>
      <c r="E30" s="117">
        <v>0.82</v>
      </c>
      <c r="F30" s="6"/>
      <c r="G30" s="6"/>
      <c r="H30" s="509" t="s">
        <v>96</v>
      </c>
      <c r="I30" s="509"/>
      <c r="J30" s="509"/>
      <c r="K30" s="509"/>
      <c r="L30" s="509"/>
      <c r="M30" s="509"/>
    </row>
    <row r="31" spans="1:17" x14ac:dyDescent="0.3">
      <c r="A31" s="510" t="s">
        <v>524</v>
      </c>
      <c r="B31" s="510"/>
      <c r="C31" s="510"/>
      <c r="D31" s="510"/>
      <c r="E31" s="395">
        <v>0.85</v>
      </c>
    </row>
    <row r="32" spans="1:17" x14ac:dyDescent="0.3">
      <c r="A32" s="116" t="s">
        <v>97</v>
      </c>
    </row>
    <row r="34" spans="1:8" ht="14.15" customHeight="1" x14ac:dyDescent="0.3">
      <c r="A34" s="405" t="s">
        <v>84</v>
      </c>
      <c r="B34" s="405"/>
      <c r="C34" s="405"/>
      <c r="D34" s="514" t="s">
        <v>501</v>
      </c>
      <c r="E34" s="446"/>
      <c r="F34" s="406" t="s">
        <v>86</v>
      </c>
      <c r="G34" s="406" t="s">
        <v>87</v>
      </c>
      <c r="H34" s="517" t="s">
        <v>98</v>
      </c>
    </row>
    <row r="35" spans="1:8" ht="42" x14ac:dyDescent="0.3">
      <c r="A35" s="405"/>
      <c r="B35" s="405"/>
      <c r="C35" s="405"/>
      <c r="D35" s="321" t="s">
        <v>496</v>
      </c>
      <c r="E35" s="321" t="s">
        <v>499</v>
      </c>
      <c r="F35" s="406"/>
      <c r="G35" s="406"/>
      <c r="H35" s="517"/>
    </row>
    <row r="36" spans="1:8" x14ac:dyDescent="0.3">
      <c r="A36" s="505"/>
      <c r="B36" s="442"/>
      <c r="C36" s="442"/>
      <c r="D36" s="1"/>
      <c r="E36" s="10"/>
      <c r="F36" s="1"/>
      <c r="G36" s="1"/>
      <c r="H36" s="517"/>
    </row>
    <row r="37" spans="1:8" x14ac:dyDescent="0.3">
      <c r="A37" s="505"/>
      <c r="B37" s="442"/>
      <c r="C37" s="442"/>
      <c r="D37" s="1"/>
      <c r="E37" s="10"/>
      <c r="F37" s="1"/>
      <c r="G37" s="1"/>
      <c r="H37" s="517"/>
    </row>
    <row r="38" spans="1:8" x14ac:dyDescent="0.3">
      <c r="A38" s="505"/>
      <c r="B38" s="442"/>
      <c r="C38" s="442"/>
      <c r="D38" s="1"/>
      <c r="E38" s="10"/>
      <c r="F38" s="1"/>
      <c r="G38" s="1"/>
      <c r="H38" s="517"/>
    </row>
    <row r="39" spans="1:8" x14ac:dyDescent="0.3">
      <c r="A39" s="505"/>
      <c r="B39" s="442"/>
      <c r="C39" s="442"/>
      <c r="D39" s="1"/>
      <c r="E39" s="10"/>
      <c r="F39" s="1"/>
      <c r="G39" s="1"/>
      <c r="H39" s="517"/>
    </row>
    <row r="40" spans="1:8" x14ac:dyDescent="0.3">
      <c r="A40" s="505"/>
      <c r="B40" s="442"/>
      <c r="C40" s="442"/>
      <c r="D40" s="1"/>
      <c r="E40" s="10"/>
      <c r="F40" s="1"/>
      <c r="G40" s="1"/>
      <c r="H40" s="517"/>
    </row>
    <row r="41" spans="1:8" x14ac:dyDescent="0.3">
      <c r="A41" s="442"/>
      <c r="B41" s="442"/>
      <c r="C41" s="442"/>
      <c r="D41" s="1"/>
      <c r="E41" s="10"/>
      <c r="F41" s="1"/>
      <c r="G41" s="1"/>
      <c r="H41" s="517"/>
    </row>
    <row r="42" spans="1:8" x14ac:dyDescent="0.3">
      <c r="A42" s="442"/>
      <c r="B42" s="442"/>
      <c r="C42" s="442"/>
      <c r="D42" s="1"/>
      <c r="E42" s="10"/>
      <c r="F42" s="1"/>
      <c r="G42" s="1"/>
      <c r="H42" s="517"/>
    </row>
    <row r="43" spans="1:8" x14ac:dyDescent="0.3">
      <c r="A43" s="442"/>
      <c r="B43" s="442"/>
      <c r="C43" s="442"/>
      <c r="D43" s="1"/>
      <c r="E43" s="10"/>
      <c r="F43" s="1"/>
      <c r="G43" s="1"/>
      <c r="H43" s="517"/>
    </row>
    <row r="44" spans="1:8" x14ac:dyDescent="0.3">
      <c r="A44" s="442"/>
      <c r="B44" s="442"/>
      <c r="C44" s="442"/>
      <c r="D44" s="1"/>
      <c r="E44" s="10"/>
      <c r="F44" s="1"/>
      <c r="G44" s="1"/>
      <c r="H44" s="517"/>
    </row>
    <row r="45" spans="1:8" x14ac:dyDescent="0.3">
      <c r="A45" s="442"/>
      <c r="B45" s="442"/>
      <c r="C45" s="442"/>
      <c r="D45" s="1"/>
      <c r="E45" s="10"/>
      <c r="F45" s="1"/>
      <c r="G45" s="1"/>
      <c r="H45" s="517"/>
    </row>
    <row r="46" spans="1:8" x14ac:dyDescent="0.3">
      <c r="A46" s="442"/>
      <c r="B46" s="442"/>
      <c r="C46" s="442"/>
      <c r="D46" s="1"/>
      <c r="E46" s="10"/>
      <c r="F46" s="1"/>
      <c r="G46" s="1"/>
      <c r="H46" s="517"/>
    </row>
    <row r="47" spans="1:8" x14ac:dyDescent="0.3">
      <c r="A47" s="442"/>
      <c r="B47" s="442"/>
      <c r="C47" s="442"/>
      <c r="D47" s="1"/>
      <c r="E47" s="10"/>
      <c r="F47" s="1"/>
      <c r="G47" s="1"/>
      <c r="H47" s="517"/>
    </row>
    <row r="48" spans="1:8" x14ac:dyDescent="0.3">
      <c r="A48" s="442"/>
      <c r="B48" s="442"/>
      <c r="C48" s="442"/>
      <c r="D48" s="1"/>
      <c r="E48" s="10"/>
      <c r="F48" s="1"/>
      <c r="G48" s="1"/>
      <c r="H48" s="517"/>
    </row>
    <row r="49" spans="1:8" x14ac:dyDescent="0.3">
      <c r="A49" s="442"/>
      <c r="B49" s="442"/>
      <c r="C49" s="442"/>
      <c r="D49" s="1"/>
      <c r="E49" s="10"/>
      <c r="F49" s="1"/>
      <c r="G49" s="1"/>
      <c r="H49" s="517"/>
    </row>
    <row r="50" spans="1:8" x14ac:dyDescent="0.3">
      <c r="A50" s="442"/>
      <c r="B50" s="442"/>
      <c r="C50" s="442"/>
      <c r="D50" s="1"/>
      <c r="E50" s="10"/>
      <c r="F50" s="1"/>
      <c r="G50" s="1"/>
      <c r="H50" s="517"/>
    </row>
    <row r="51" spans="1:8" x14ac:dyDescent="0.3">
      <c r="A51" s="442"/>
      <c r="B51" s="442"/>
      <c r="C51" s="442"/>
      <c r="D51" s="1"/>
      <c r="E51" s="10"/>
      <c r="F51" s="1"/>
      <c r="G51" s="1"/>
      <c r="H51" s="517"/>
    </row>
    <row r="52" spans="1:8" x14ac:dyDescent="0.3">
      <c r="A52" s="442"/>
      <c r="B52" s="442"/>
      <c r="C52" s="442"/>
      <c r="D52" s="1"/>
      <c r="E52" s="10"/>
      <c r="F52" s="1"/>
      <c r="G52" s="1"/>
      <c r="H52" s="517"/>
    </row>
    <row r="53" spans="1:8" x14ac:dyDescent="0.3">
      <c r="A53" s="442"/>
      <c r="B53" s="442"/>
      <c r="C53" s="442"/>
      <c r="D53" s="1"/>
      <c r="E53" s="10"/>
      <c r="F53" s="1"/>
      <c r="G53" s="1"/>
      <c r="H53" s="517"/>
    </row>
    <row r="54" spans="1:8" x14ac:dyDescent="0.3">
      <c r="A54" s="442"/>
      <c r="B54" s="442"/>
      <c r="C54" s="442"/>
      <c r="D54" s="1"/>
      <c r="E54" s="10"/>
      <c r="F54" s="1"/>
      <c r="G54" s="1"/>
      <c r="H54" s="517"/>
    </row>
    <row r="55" spans="1:8" x14ac:dyDescent="0.3">
      <c r="A55" s="442"/>
      <c r="B55" s="442"/>
      <c r="C55" s="442"/>
      <c r="D55" s="1"/>
      <c r="E55" s="10"/>
      <c r="F55" s="1"/>
      <c r="G55" s="1"/>
      <c r="H55" s="517"/>
    </row>
    <row r="56" spans="1:8" x14ac:dyDescent="0.3">
      <c r="A56" s="442"/>
      <c r="B56" s="442"/>
      <c r="C56" s="442"/>
      <c r="D56" s="1"/>
      <c r="E56" s="10"/>
      <c r="F56" s="1"/>
      <c r="G56" s="1"/>
      <c r="H56" s="517"/>
    </row>
    <row r="57" spans="1:8" x14ac:dyDescent="0.3">
      <c r="A57" s="442"/>
      <c r="B57" s="442"/>
      <c r="C57" s="442"/>
      <c r="D57" s="1"/>
      <c r="E57" s="10"/>
      <c r="F57" s="1"/>
      <c r="G57" s="1"/>
      <c r="H57" s="517"/>
    </row>
  </sheetData>
  <mergeCells count="61">
    <mergeCell ref="N5:N6"/>
    <mergeCell ref="O5:Q5"/>
    <mergeCell ref="A57:C57"/>
    <mergeCell ref="H34:H57"/>
    <mergeCell ref="A52:C52"/>
    <mergeCell ref="A53:C53"/>
    <mergeCell ref="A54:C54"/>
    <mergeCell ref="A55:C55"/>
    <mergeCell ref="A56:C56"/>
    <mergeCell ref="A47:C47"/>
    <mergeCell ref="A48:C48"/>
    <mergeCell ref="A49:C49"/>
    <mergeCell ref="A50:C50"/>
    <mergeCell ref="A51:C51"/>
    <mergeCell ref="A42:C42"/>
    <mergeCell ref="A43:C43"/>
    <mergeCell ref="F34:F35"/>
    <mergeCell ref="G34:G35"/>
    <mergeCell ref="A46:C46"/>
    <mergeCell ref="A34:C35"/>
    <mergeCell ref="D34:E34"/>
    <mergeCell ref="A36:C36"/>
    <mergeCell ref="A22:C22"/>
    <mergeCell ref="A23:C23"/>
    <mergeCell ref="A27:C27"/>
    <mergeCell ref="A45:C45"/>
    <mergeCell ref="A37:C37"/>
    <mergeCell ref="A44:C44"/>
    <mergeCell ref="A31:D31"/>
    <mergeCell ref="H30:M30"/>
    <mergeCell ref="A7:C7"/>
    <mergeCell ref="A24:C24"/>
    <mergeCell ref="A25:C25"/>
    <mergeCell ref="A26:C26"/>
    <mergeCell ref="A30:D30"/>
    <mergeCell ref="H5:H29"/>
    <mergeCell ref="A13:C13"/>
    <mergeCell ref="A14:C14"/>
    <mergeCell ref="A15:C15"/>
    <mergeCell ref="A16:C16"/>
    <mergeCell ref="A17:C17"/>
    <mergeCell ref="A18:C18"/>
    <mergeCell ref="A19:C19"/>
    <mergeCell ref="A20:C20"/>
    <mergeCell ref="A21:C21"/>
    <mergeCell ref="J5:M5"/>
    <mergeCell ref="A39:C39"/>
    <mergeCell ref="A40:C40"/>
    <mergeCell ref="A41:C41"/>
    <mergeCell ref="G5:G6"/>
    <mergeCell ref="A11:C11"/>
    <mergeCell ref="A12:C12"/>
    <mergeCell ref="A5:C6"/>
    <mergeCell ref="D5:E5"/>
    <mergeCell ref="F5:F6"/>
    <mergeCell ref="A28:C28"/>
    <mergeCell ref="A29:C29"/>
    <mergeCell ref="A38:C38"/>
    <mergeCell ref="A8:C8"/>
    <mergeCell ref="A9:C9"/>
    <mergeCell ref="A10:C10"/>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D53C8FE0-FF9F-4A9A-910A-9EC253B9EA0D}">
          <x14:formula1>
            <xm:f>Hoja1!$CR$22:$CR$24</xm:f>
          </x14:formula1>
          <xm:sqref>E7:E29</xm:sqref>
        </x14:dataValidation>
        <x14:dataValidation type="list" allowBlank="1" showInputMessage="1" showErrorMessage="1" xr:uid="{800E0723-4A6E-4869-A7FF-1D400FEEE9D7}">
          <x14:formula1>
            <xm:f>Hoja1!$CV$21:$CV$25</xm:f>
          </x14:formula1>
          <xm:sqref>E36:E57</xm:sqref>
        </x14:dataValidation>
        <x14:dataValidation type="list" allowBlank="1" showInputMessage="1" showErrorMessage="1" xr:uid="{536F4587-DC2B-459B-8834-BE3AD2C81D44}">
          <x14:formula1>
            <xm:f>Hoja1!$O$2:$O$4</xm:f>
          </x14:formula1>
          <xm:sqref>I7:I29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96CF8-3C54-4BE8-BC75-2FD19155D1C7}">
  <dimension ref="D1:K15"/>
  <sheetViews>
    <sheetView workbookViewId="0">
      <selection activeCell="G12" sqref="G12"/>
    </sheetView>
  </sheetViews>
  <sheetFormatPr baseColWidth="10" defaultRowHeight="14" x14ac:dyDescent="0.3"/>
  <sheetData>
    <row r="1" spans="4:11" x14ac:dyDescent="0.3">
      <c r="H1" s="155" t="s">
        <v>366</v>
      </c>
      <c r="I1" s="156"/>
      <c r="J1" s="156"/>
      <c r="K1" s="157"/>
    </row>
    <row r="2" spans="4:11" x14ac:dyDescent="0.3">
      <c r="H2" s="158"/>
      <c r="I2" s="6"/>
      <c r="J2" s="6"/>
      <c r="K2" s="159"/>
    </row>
    <row r="3" spans="4:11" x14ac:dyDescent="0.3">
      <c r="H3" s="158"/>
      <c r="I3" s="6"/>
      <c r="J3" s="6"/>
      <c r="K3" s="159"/>
    </row>
    <row r="4" spans="4:11" x14ac:dyDescent="0.3">
      <c r="D4" s="148"/>
      <c r="H4" s="158"/>
      <c r="I4" s="6"/>
      <c r="J4" s="6"/>
      <c r="K4" s="159"/>
    </row>
    <row r="5" spans="4:11" x14ac:dyDescent="0.3">
      <c r="H5" s="158"/>
      <c r="I5" s="6"/>
      <c r="J5" s="6"/>
      <c r="K5" s="159"/>
    </row>
    <row r="6" spans="4:11" x14ac:dyDescent="0.3">
      <c r="H6" s="158"/>
      <c r="I6" s="46">
        <v>-0.14000000000000001</v>
      </c>
      <c r="J6" s="46">
        <v>472.34</v>
      </c>
      <c r="K6" s="159"/>
    </row>
    <row r="7" spans="4:11" ht="14.5" thickBot="1" x14ac:dyDescent="0.35">
      <c r="H7" s="160"/>
      <c r="I7" s="26"/>
      <c r="J7" s="26"/>
      <c r="K7" s="161"/>
    </row>
    <row r="10" spans="4:11" x14ac:dyDescent="0.3">
      <c r="H10" s="141" t="s">
        <v>367</v>
      </c>
      <c r="I10" s="1"/>
      <c r="J10" s="1"/>
    </row>
    <row r="15" spans="4:11" x14ac:dyDescent="0.3">
      <c r="H15" s="141" t="s">
        <v>368</v>
      </c>
      <c r="I15" s="388"/>
      <c r="J15" s="1"/>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CD572-3E3B-4BE1-A602-484CCC27DFC5}">
  <dimension ref="A2:K7"/>
  <sheetViews>
    <sheetView workbookViewId="0">
      <selection activeCell="D11" sqref="D11"/>
    </sheetView>
  </sheetViews>
  <sheetFormatPr baseColWidth="10" defaultRowHeight="14" x14ac:dyDescent="0.3"/>
  <cols>
    <col min="1" max="1" width="13.4140625" bestFit="1" customWidth="1"/>
    <col min="2" max="2" width="14.08203125" customWidth="1"/>
  </cols>
  <sheetData>
    <row r="2" spans="1:11" x14ac:dyDescent="0.3">
      <c r="A2" s="171" t="s">
        <v>392</v>
      </c>
      <c r="B2" s="194" t="str">
        <f>'Potencia-Condensador'!T19</f>
        <v>-</v>
      </c>
      <c r="C2" s="195" t="s">
        <v>397</v>
      </c>
      <c r="D2" s="196"/>
      <c r="E2" s="196"/>
      <c r="F2" s="196"/>
      <c r="G2" s="196"/>
      <c r="H2" s="196"/>
      <c r="I2" s="196"/>
      <c r="J2" s="196"/>
      <c r="K2" s="197"/>
    </row>
    <row r="3" spans="1:11" x14ac:dyDescent="0.3">
      <c r="A3" s="186" t="s">
        <v>393</v>
      </c>
      <c r="B3" s="9"/>
      <c r="C3" s="188" t="s">
        <v>398</v>
      </c>
      <c r="D3" s="189"/>
      <c r="E3" s="189"/>
      <c r="F3" s="189"/>
      <c r="G3" s="189"/>
      <c r="H3" s="189"/>
      <c r="I3" s="189"/>
      <c r="J3" s="190" t="str">
        <f>B2</f>
        <v>-</v>
      </c>
      <c r="K3" s="191" t="s">
        <v>399</v>
      </c>
    </row>
    <row r="5" spans="1:11" x14ac:dyDescent="0.3">
      <c r="A5" s="186" t="s">
        <v>396</v>
      </c>
      <c r="C5" s="1" t="str">
        <f>'Potencia-Condensador'!F20</f>
        <v>-</v>
      </c>
    </row>
    <row r="7" spans="1:11" x14ac:dyDescent="0.3">
      <c r="A7" s="244" t="s">
        <v>437</v>
      </c>
      <c r="C7" s="1">
        <v>3.7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62885-A3A4-450D-B0E9-B6C9F244479B}">
  <dimension ref="A1:AS25"/>
  <sheetViews>
    <sheetView zoomScale="62" zoomScaleNormal="62" workbookViewId="0">
      <selection activeCell="J21" sqref="J21"/>
    </sheetView>
  </sheetViews>
  <sheetFormatPr baseColWidth="10" defaultColWidth="11" defaultRowHeight="14" x14ac:dyDescent="0.3"/>
  <cols>
    <col min="3" max="3" width="10.58203125" customWidth="1"/>
    <col min="7" max="9" width="16.5" customWidth="1"/>
    <col min="11" max="11" width="15.08203125" bestFit="1" customWidth="1"/>
    <col min="13" max="13" width="13.58203125" bestFit="1" customWidth="1"/>
    <col min="24" max="24" width="13.1640625" customWidth="1"/>
    <col min="25" max="25" width="12.1640625" bestFit="1" customWidth="1"/>
    <col min="41" max="41" width="13.58203125" customWidth="1"/>
  </cols>
  <sheetData>
    <row r="1" spans="1:45" x14ac:dyDescent="0.3">
      <c r="A1" s="52">
        <f>'1.GeneralesEmpresa'!A13</f>
        <v>45170</v>
      </c>
      <c r="B1">
        <f>'1.GeneralesEmpresa'!B13</f>
        <v>0</v>
      </c>
      <c r="C1">
        <f>'1.GeneralesEmpresa'!C13</f>
        <v>0</v>
      </c>
      <c r="D1">
        <f>'1.GeneralesEmpresa'!D13</f>
        <v>0</v>
      </c>
      <c r="E1">
        <f>'1.GeneralesEmpresa'!E13</f>
        <v>0</v>
      </c>
      <c r="F1">
        <f>'1.GeneralesEmpresa'!F13</f>
        <v>0</v>
      </c>
      <c r="G1" s="4">
        <f>'1.GeneralesEmpresa'!G13</f>
        <v>0</v>
      </c>
      <c r="H1">
        <f>'1.GeneralesEmpresa'!H13</f>
        <v>0</v>
      </c>
      <c r="I1" s="4"/>
      <c r="K1" s="116" t="s">
        <v>101</v>
      </c>
      <c r="Y1" s="140"/>
      <c r="AA1" s="140" t="s">
        <v>350</v>
      </c>
      <c r="AF1" s="140" t="s">
        <v>350</v>
      </c>
      <c r="AH1" s="140" t="s">
        <v>351</v>
      </c>
      <c r="AO1" s="140" t="s">
        <v>355</v>
      </c>
      <c r="AP1" s="140" t="s">
        <v>356</v>
      </c>
      <c r="AR1" s="140" t="s">
        <v>357</v>
      </c>
    </row>
    <row r="2" spans="1:45" x14ac:dyDescent="0.3">
      <c r="A2" s="52">
        <f>'1.GeneralesEmpresa'!A14</f>
        <v>45201</v>
      </c>
      <c r="B2">
        <f>'1.GeneralesEmpresa'!B14</f>
        <v>0</v>
      </c>
      <c r="C2">
        <f>'1.GeneralesEmpresa'!C14</f>
        <v>0</v>
      </c>
      <c r="D2">
        <f>'1.GeneralesEmpresa'!D14</f>
        <v>0</v>
      </c>
      <c r="E2">
        <f>'1.GeneralesEmpresa'!E14</f>
        <v>0</v>
      </c>
      <c r="F2">
        <f>'1.GeneralesEmpresa'!F14</f>
        <v>0</v>
      </c>
      <c r="G2" s="4">
        <f>'1.GeneralesEmpresa'!G14</f>
        <v>0</v>
      </c>
      <c r="H2">
        <f>'1.GeneralesEmpresa'!H14</f>
        <v>0</v>
      </c>
      <c r="I2" s="4"/>
      <c r="K2" s="117" t="s">
        <v>102</v>
      </c>
      <c r="L2" s="70" t="e">
        <f>Hoja1!CK18/'1.GeneralesEmpresa'!G10</f>
        <v>#DIV/0!</v>
      </c>
      <c r="M2" s="117" t="s">
        <v>103</v>
      </c>
      <c r="N2" s="70" t="e">
        <f>Hoja1!CS18</f>
        <v>#DIV/0!</v>
      </c>
      <c r="O2" s="117" t="s">
        <v>104</v>
      </c>
      <c r="Q2" s="1" t="e">
        <f>Hoja1!CY18/'1.GeneralesEmpresa'!G10</f>
        <v>#DIV/0!</v>
      </c>
      <c r="V2">
        <v>1000</v>
      </c>
      <c r="W2">
        <f>'3.Administración e iluminación'!E5</f>
        <v>0</v>
      </c>
      <c r="X2">
        <v>1</v>
      </c>
      <c r="Y2">
        <f>IF(W2="W",(Z2/1000),Z2)</f>
        <v>0</v>
      </c>
      <c r="Z2">
        <f>'3.Administración e iluminación'!D5</f>
        <v>0</v>
      </c>
      <c r="AA2">
        <f>Y2*'3.Administración e iluminación'!C5*'3.Administración e iluminación'!F5*'3.Administración e iluminación'!G5*4</f>
        <v>0</v>
      </c>
      <c r="AC2">
        <f>'3.Administración e iluminación'!M5</f>
        <v>0</v>
      </c>
      <c r="AD2">
        <f>'3.Administración e iluminación'!L5</f>
        <v>0</v>
      </c>
      <c r="AE2">
        <f>IF(AC2="W",(AD2/1000),AD2)</f>
        <v>0</v>
      </c>
      <c r="AF2">
        <f>AE2*'3.Administración e iluminación'!K5*'3.Administración e iluminación'!N5*'3.Administración e iluminación'!O5*4</f>
        <v>0</v>
      </c>
      <c r="AH2">
        <f>IF(AC2="W",(AI2/1000),AI2)</f>
        <v>0</v>
      </c>
      <c r="AI2">
        <f>'3.Administración e iluminación'!R5</f>
        <v>0</v>
      </c>
      <c r="AJ2">
        <f>AH2*AK2*'3.Administración e iluminación'!N5*'3.Administración e iluminación'!O5*4</f>
        <v>0</v>
      </c>
      <c r="AK2">
        <f>IF('3.Administración e iluminación'!Q5="-",0,'3.Administración e iluminación'!Q5)</f>
        <v>0</v>
      </c>
      <c r="AM2">
        <f>IF(AJ2=0,0,(AF2-AJ2))</f>
        <v>0</v>
      </c>
      <c r="AO2">
        <f>AK2*'3.Administración e iluminación'!T5</f>
        <v>0</v>
      </c>
      <c r="AP2" s="149">
        <f>IFERROR(('3.Administración e iluminación'!U5/('3.Administración e iluminación'!O5*4.34*12*'3.Administración e iluminación'!N5)),0)</f>
        <v>0</v>
      </c>
      <c r="AQ2" t="e">
        <f>AM2*Hoja1!$AT$19</f>
        <v>#DIV/0!</v>
      </c>
      <c r="AR2" s="149" t="e">
        <f>AO2/AQ2</f>
        <v>#DIV/0!</v>
      </c>
      <c r="AS2">
        <f>IF((0.259*AM2*12)=0,0,(0.259*AM2*12))</f>
        <v>0</v>
      </c>
    </row>
    <row r="3" spans="1:45" x14ac:dyDescent="0.3">
      <c r="A3" s="52">
        <f>'1.GeneralesEmpresa'!A15</f>
        <v>45232</v>
      </c>
      <c r="B3">
        <f>'1.GeneralesEmpresa'!B15</f>
        <v>0</v>
      </c>
      <c r="C3">
        <f>'1.GeneralesEmpresa'!C15</f>
        <v>0</v>
      </c>
      <c r="D3">
        <f>'1.GeneralesEmpresa'!D15</f>
        <v>0</v>
      </c>
      <c r="E3">
        <f>'1.GeneralesEmpresa'!E15</f>
        <v>0</v>
      </c>
      <c r="F3">
        <f>'1.GeneralesEmpresa'!F15</f>
        <v>0</v>
      </c>
      <c r="G3" s="4">
        <f>'1.GeneralesEmpresa'!G15</f>
        <v>0</v>
      </c>
      <c r="H3">
        <f>'1.GeneralesEmpresa'!H15</f>
        <v>0</v>
      </c>
      <c r="I3" s="4"/>
      <c r="K3" s="117" t="s">
        <v>105</v>
      </c>
      <c r="L3" s="68" t="e">
        <f>Hoja1!CK18/Hoja2!B13</f>
        <v>#DIV/0!</v>
      </c>
      <c r="M3" s="117" t="s">
        <v>106</v>
      </c>
      <c r="N3" s="67" t="e">
        <f>Hoja1!CN18/Hoja2!B13</f>
        <v>#DIV/0!</v>
      </c>
      <c r="O3" s="117" t="s">
        <v>107</v>
      </c>
      <c r="Q3" s="68" t="e">
        <f>Hoja1!CY18/Hoja2!B13</f>
        <v>#DIV/0!</v>
      </c>
      <c r="W3">
        <f>'3.Administración e iluminación'!E6</f>
        <v>0</v>
      </c>
      <c r="X3">
        <v>2</v>
      </c>
      <c r="Y3">
        <f t="shared" ref="Y3:Y21" si="0">IF(W3="W",(Z3/1000),Z3)</f>
        <v>0</v>
      </c>
      <c r="Z3">
        <f>'3.Administración e iluminación'!D6</f>
        <v>0</v>
      </c>
      <c r="AA3">
        <f>Y3*'3.Administración e iluminación'!C6*'3.Administración e iluminación'!F6*'3.Administración e iluminación'!G6*4</f>
        <v>0</v>
      </c>
      <c r="AC3">
        <f>'3.Administración e iluminación'!M6</f>
        <v>0</v>
      </c>
      <c r="AD3">
        <f>'3.Administración e iluminación'!L6</f>
        <v>0</v>
      </c>
      <c r="AE3">
        <f t="shared" ref="AE3:AE21" si="1">IF(AC3="W",(AD3/1000),AD3)</f>
        <v>0</v>
      </c>
      <c r="AF3">
        <f>AE3*'3.Administración e iluminación'!K6*'3.Administración e iluminación'!N6*'3.Administración e iluminación'!O6*4</f>
        <v>0</v>
      </c>
      <c r="AH3">
        <f t="shared" ref="AH3:AH21" si="2">IF(AC3="W",(AI3/1000),AI3)</f>
        <v>0</v>
      </c>
      <c r="AI3">
        <f>'3.Administración e iluminación'!R6</f>
        <v>0</v>
      </c>
      <c r="AJ3">
        <f>AH3*AK3*'3.Administración e iluminación'!N6*'3.Administración e iluminación'!O6*4</f>
        <v>0</v>
      </c>
      <c r="AK3">
        <f>IF('3.Administración e iluminación'!Q6="-",0,'3.Administración e iluminación'!Q6)</f>
        <v>0</v>
      </c>
      <c r="AM3">
        <f t="shared" ref="AM3:AM21" si="3">IF(AJ3=0,0,(AF3-AJ3))</f>
        <v>0</v>
      </c>
      <c r="AO3">
        <f>AK3*'3.Administración e iluminación'!T6</f>
        <v>0</v>
      </c>
      <c r="AP3" s="149">
        <f>IFERROR(('3.Administración e iluminación'!U6/('3.Administración e iluminación'!O6*4.34*12*'3.Administración e iluminación'!N6)),0)</f>
        <v>0</v>
      </c>
      <c r="AQ3" t="e">
        <f>AM3*Hoja1!$AT$19</f>
        <v>#DIV/0!</v>
      </c>
      <c r="AR3" s="149" t="e">
        <f t="shared" ref="AR3:AR21" si="4">AO3/AQ3</f>
        <v>#DIV/0!</v>
      </c>
      <c r="AS3">
        <f t="shared" ref="AS3:AS21" si="5">IF((0.259*AM3*12)=0,0,(0.259*AM3*12))</f>
        <v>0</v>
      </c>
    </row>
    <row r="4" spans="1:45" x14ac:dyDescent="0.3">
      <c r="A4" s="52">
        <f>'1.GeneralesEmpresa'!A16</f>
        <v>45263</v>
      </c>
      <c r="B4">
        <f>'1.GeneralesEmpresa'!B16</f>
        <v>0</v>
      </c>
      <c r="C4">
        <f>'1.GeneralesEmpresa'!C16</f>
        <v>0</v>
      </c>
      <c r="D4">
        <f>'1.GeneralesEmpresa'!D16</f>
        <v>0</v>
      </c>
      <c r="E4">
        <f>'1.GeneralesEmpresa'!E16</f>
        <v>0</v>
      </c>
      <c r="F4">
        <f>'1.GeneralesEmpresa'!F16</f>
        <v>0</v>
      </c>
      <c r="G4" s="4">
        <f>'1.GeneralesEmpresa'!G16</f>
        <v>0</v>
      </c>
      <c r="H4">
        <f>'1.GeneralesEmpresa'!H16</f>
        <v>0</v>
      </c>
      <c r="I4" s="4"/>
      <c r="K4" s="117" t="s">
        <v>108</v>
      </c>
      <c r="L4" s="68" t="e">
        <f>Hoja1!CR18</f>
        <v>#DIV/0!</v>
      </c>
      <c r="M4" s="117" t="s">
        <v>109</v>
      </c>
      <c r="N4" s="68" t="e">
        <f>Hoja1!CT18</f>
        <v>#DIV/0!</v>
      </c>
      <c r="O4" s="117" t="s">
        <v>110</v>
      </c>
      <c r="Q4" s="68" t="e">
        <f>Hoja1!CZ18</f>
        <v>#DIV/0!</v>
      </c>
      <c r="W4">
        <f>'3.Administración e iluminación'!E7</f>
        <v>0</v>
      </c>
      <c r="X4">
        <v>3</v>
      </c>
      <c r="Y4">
        <f t="shared" si="0"/>
        <v>0</v>
      </c>
      <c r="Z4">
        <f>'3.Administración e iluminación'!D7</f>
        <v>0</v>
      </c>
      <c r="AA4">
        <f>Y4*'3.Administración e iluminación'!C7*'3.Administración e iluminación'!F7*'3.Administración e iluminación'!G7*4</f>
        <v>0</v>
      </c>
      <c r="AC4">
        <f>'3.Administración e iluminación'!M7</f>
        <v>0</v>
      </c>
      <c r="AD4">
        <f>'3.Administración e iluminación'!L7</f>
        <v>0</v>
      </c>
      <c r="AE4">
        <f t="shared" si="1"/>
        <v>0</v>
      </c>
      <c r="AF4">
        <f>AE4*'3.Administración e iluminación'!K7*'3.Administración e iluminación'!N7*'3.Administración e iluminación'!O7*4</f>
        <v>0</v>
      </c>
      <c r="AH4">
        <f t="shared" si="2"/>
        <v>0</v>
      </c>
      <c r="AI4">
        <f>'3.Administración e iluminación'!R7</f>
        <v>0</v>
      </c>
      <c r="AJ4">
        <f>AH4*AK4*'3.Administración e iluminación'!N7*'3.Administración e iluminación'!O7*4</f>
        <v>0</v>
      </c>
      <c r="AK4">
        <f>IF('3.Administración e iluminación'!Q7="-",0,'3.Administración e iluminación'!Q7)</f>
        <v>0</v>
      </c>
      <c r="AM4">
        <f t="shared" si="3"/>
        <v>0</v>
      </c>
      <c r="AO4">
        <f>AK4*'3.Administración e iluminación'!T7</f>
        <v>0</v>
      </c>
      <c r="AP4" s="149">
        <f>IFERROR(('3.Administración e iluminación'!U7/('3.Administración e iluminación'!O7*4.34*12*'3.Administración e iluminación'!N7)),0)</f>
        <v>0</v>
      </c>
      <c r="AQ4" t="e">
        <f>AM4*Hoja1!$AT$19</f>
        <v>#DIV/0!</v>
      </c>
      <c r="AR4" s="149" t="e">
        <f t="shared" si="4"/>
        <v>#DIV/0!</v>
      </c>
      <c r="AS4">
        <f t="shared" si="5"/>
        <v>0</v>
      </c>
    </row>
    <row r="5" spans="1:45" x14ac:dyDescent="0.3">
      <c r="A5" s="52">
        <f>'1.GeneralesEmpresa'!A17</f>
        <v>45294</v>
      </c>
      <c r="B5">
        <f>'1.GeneralesEmpresa'!B17</f>
        <v>0</v>
      </c>
      <c r="C5">
        <f>'1.GeneralesEmpresa'!C17</f>
        <v>0</v>
      </c>
      <c r="D5">
        <f>'1.GeneralesEmpresa'!D17</f>
        <v>0</v>
      </c>
      <c r="E5">
        <f>'1.GeneralesEmpresa'!E17</f>
        <v>0</v>
      </c>
      <c r="F5">
        <f>'1.GeneralesEmpresa'!F17</f>
        <v>0</v>
      </c>
      <c r="G5" s="4">
        <f>'1.GeneralesEmpresa'!G17</f>
        <v>0</v>
      </c>
      <c r="H5">
        <f>'1.GeneralesEmpresa'!H17</f>
        <v>0</v>
      </c>
      <c r="I5" s="4"/>
      <c r="K5" s="117" t="s">
        <v>111</v>
      </c>
      <c r="L5" s="70" t="e">
        <f>Hoja1!CL18/'1.GeneralesEmpresa'!G10</f>
        <v>#DIV/0!</v>
      </c>
      <c r="W5">
        <f>'3.Administración e iluminación'!E8</f>
        <v>0</v>
      </c>
      <c r="X5">
        <v>4</v>
      </c>
      <c r="Y5">
        <f t="shared" si="0"/>
        <v>0</v>
      </c>
      <c r="Z5">
        <f>'3.Administración e iluminación'!D8</f>
        <v>0</v>
      </c>
      <c r="AA5">
        <f>Y5*'3.Administración e iluminación'!C8*'3.Administración e iluminación'!F8*'3.Administración e iluminación'!G8*4</f>
        <v>0</v>
      </c>
      <c r="AC5">
        <f>'3.Administración e iluminación'!M8</f>
        <v>0</v>
      </c>
      <c r="AD5">
        <f>'3.Administración e iluminación'!L8</f>
        <v>0</v>
      </c>
      <c r="AE5">
        <f t="shared" si="1"/>
        <v>0</v>
      </c>
      <c r="AF5">
        <f>AE5*'3.Administración e iluminación'!K8*'3.Administración e iluminación'!N8*'3.Administración e iluminación'!O8*4</f>
        <v>0</v>
      </c>
      <c r="AH5">
        <f t="shared" si="2"/>
        <v>0</v>
      </c>
      <c r="AI5">
        <f>'3.Administración e iluminación'!R8</f>
        <v>0</v>
      </c>
      <c r="AJ5">
        <f>AH5*AK5*'3.Administración e iluminación'!N8*'3.Administración e iluminación'!O8*4</f>
        <v>0</v>
      </c>
      <c r="AK5">
        <f>IF('3.Administración e iluminación'!Q8="-",0,'3.Administración e iluminación'!Q8)</f>
        <v>0</v>
      </c>
      <c r="AM5">
        <f t="shared" si="3"/>
        <v>0</v>
      </c>
      <c r="AO5">
        <f>AK5*'3.Administración e iluminación'!T8</f>
        <v>0</v>
      </c>
      <c r="AP5" s="149">
        <f>IFERROR(('3.Administración e iluminación'!U8/('3.Administración e iluminación'!O8*4.34*12*'3.Administración e iluminación'!N8)),0)</f>
        <v>0</v>
      </c>
      <c r="AQ5" t="e">
        <f>AM5*Hoja1!$AT$19</f>
        <v>#DIV/0!</v>
      </c>
      <c r="AR5" s="149" t="e">
        <f>AO5/AQ5</f>
        <v>#DIV/0!</v>
      </c>
      <c r="AS5">
        <f t="shared" si="5"/>
        <v>0</v>
      </c>
    </row>
    <row r="6" spans="1:45" x14ac:dyDescent="0.3">
      <c r="A6" s="52">
        <f>'1.GeneralesEmpresa'!A18</f>
        <v>45325</v>
      </c>
      <c r="B6">
        <f>'1.GeneralesEmpresa'!B18</f>
        <v>0</v>
      </c>
      <c r="C6">
        <f>'1.GeneralesEmpresa'!C18</f>
        <v>0</v>
      </c>
      <c r="D6">
        <f>'1.GeneralesEmpresa'!D18</f>
        <v>0</v>
      </c>
      <c r="E6">
        <f>'1.GeneralesEmpresa'!E18</f>
        <v>0</v>
      </c>
      <c r="F6">
        <f>'1.GeneralesEmpresa'!F18</f>
        <v>0</v>
      </c>
      <c r="G6" s="4">
        <f>'1.GeneralesEmpresa'!G18</f>
        <v>0</v>
      </c>
      <c r="H6">
        <f>'1.GeneralesEmpresa'!H18</f>
        <v>0</v>
      </c>
      <c r="I6" s="4"/>
      <c r="K6" s="117" t="s">
        <v>112</v>
      </c>
      <c r="L6" s="68" t="e">
        <f>Hoja1!CL18/Hoja2!B13</f>
        <v>#DIV/0!</v>
      </c>
      <c r="W6">
        <f>'3.Administración e iluminación'!E9</f>
        <v>0</v>
      </c>
      <c r="X6">
        <v>5</v>
      </c>
      <c r="Y6">
        <f t="shared" si="0"/>
        <v>0</v>
      </c>
      <c r="Z6">
        <f>'3.Administración e iluminación'!D9</f>
        <v>0</v>
      </c>
      <c r="AA6">
        <f>Y6*'3.Administración e iluminación'!C9*'3.Administración e iluminación'!F9*'3.Administración e iluminación'!G9*4</f>
        <v>0</v>
      </c>
      <c r="AC6">
        <f>'3.Administración e iluminación'!M9</f>
        <v>0</v>
      </c>
      <c r="AD6">
        <f>'3.Administración e iluminación'!L9</f>
        <v>0</v>
      </c>
      <c r="AE6">
        <f t="shared" si="1"/>
        <v>0</v>
      </c>
      <c r="AF6">
        <f>AE6*'3.Administración e iluminación'!K9*'3.Administración e iluminación'!N9*'3.Administración e iluminación'!O9*4</f>
        <v>0</v>
      </c>
      <c r="AH6">
        <f t="shared" si="2"/>
        <v>0</v>
      </c>
      <c r="AI6">
        <f>'3.Administración e iluminación'!R9</f>
        <v>0</v>
      </c>
      <c r="AJ6">
        <f>AH6*AK6*'3.Administración e iluminación'!N9*'3.Administración e iluminación'!O9*4</f>
        <v>0</v>
      </c>
      <c r="AK6">
        <f>IF('3.Administración e iluminación'!Q9="-",0,'3.Administración e iluminación'!Q9)</f>
        <v>0</v>
      </c>
      <c r="AM6">
        <f t="shared" si="3"/>
        <v>0</v>
      </c>
      <c r="AO6">
        <f>AK6*'3.Administración e iluminación'!T9</f>
        <v>0</v>
      </c>
      <c r="AP6" s="149">
        <f>IFERROR(('3.Administración e iluminación'!U9/('3.Administración e iluminación'!O9*4.34*12*'3.Administración e iluminación'!N9)),0)</f>
        <v>0</v>
      </c>
      <c r="AQ6" t="e">
        <f>AM6*Hoja1!$AT$19</f>
        <v>#DIV/0!</v>
      </c>
      <c r="AR6" s="149" t="e">
        <f t="shared" si="4"/>
        <v>#DIV/0!</v>
      </c>
      <c r="AS6">
        <f t="shared" si="5"/>
        <v>0</v>
      </c>
    </row>
    <row r="7" spans="1:45" x14ac:dyDescent="0.3">
      <c r="A7" s="52">
        <f>'1.GeneralesEmpresa'!A19</f>
        <v>45356</v>
      </c>
      <c r="B7">
        <f>'1.GeneralesEmpresa'!B19</f>
        <v>0</v>
      </c>
      <c r="C7">
        <f>'1.GeneralesEmpresa'!C19</f>
        <v>0</v>
      </c>
      <c r="D7">
        <f>'1.GeneralesEmpresa'!D19</f>
        <v>0</v>
      </c>
      <c r="E7">
        <f>'1.GeneralesEmpresa'!E19</f>
        <v>0</v>
      </c>
      <c r="F7">
        <f>'1.GeneralesEmpresa'!F19</f>
        <v>0</v>
      </c>
      <c r="G7" s="4">
        <f>'1.GeneralesEmpresa'!G19</f>
        <v>0</v>
      </c>
      <c r="H7">
        <f>'1.GeneralesEmpresa'!H19</f>
        <v>0</v>
      </c>
      <c r="I7" s="4"/>
      <c r="K7" s="117" t="s">
        <v>113</v>
      </c>
      <c r="L7" s="68" t="e">
        <f>Hoja1!CJ32</f>
        <v>#DIV/0!</v>
      </c>
      <c r="W7">
        <f>'3.Administración e iluminación'!E10</f>
        <v>0</v>
      </c>
      <c r="X7">
        <v>6</v>
      </c>
      <c r="Y7">
        <f t="shared" si="0"/>
        <v>0</v>
      </c>
      <c r="Z7">
        <f>'3.Administración e iluminación'!D10</f>
        <v>0</v>
      </c>
      <c r="AA7">
        <f>Y7*'3.Administración e iluminación'!C10*'3.Administración e iluminación'!F10*'3.Administración e iluminación'!G10*4</f>
        <v>0</v>
      </c>
      <c r="AC7">
        <f>'3.Administración e iluminación'!M10</f>
        <v>0</v>
      </c>
      <c r="AD7">
        <f>'3.Administración e iluminación'!L10</f>
        <v>0</v>
      </c>
      <c r="AE7">
        <f t="shared" si="1"/>
        <v>0</v>
      </c>
      <c r="AF7">
        <f>AE7*'3.Administración e iluminación'!K10*'3.Administración e iluminación'!N10*'3.Administración e iluminación'!O10*4</f>
        <v>0</v>
      </c>
      <c r="AH7">
        <f t="shared" si="2"/>
        <v>0</v>
      </c>
      <c r="AI7">
        <f>'3.Administración e iluminación'!R10</f>
        <v>0</v>
      </c>
      <c r="AJ7">
        <f>AH7*AK7*'3.Administración e iluminación'!N10*'3.Administración e iluminación'!O10*4</f>
        <v>0</v>
      </c>
      <c r="AK7">
        <f>IF('3.Administración e iluminación'!Q10="-",0,'3.Administración e iluminación'!Q10)</f>
        <v>0</v>
      </c>
      <c r="AM7">
        <f t="shared" si="3"/>
        <v>0</v>
      </c>
      <c r="AO7">
        <f>AK7*'3.Administración e iluminación'!T10</f>
        <v>0</v>
      </c>
      <c r="AP7" s="149">
        <f>IFERROR(('3.Administración e iluminación'!U10/('3.Administración e iluminación'!O10*4.34*12*'3.Administración e iluminación'!N10)),0)</f>
        <v>0</v>
      </c>
      <c r="AQ7" t="e">
        <f>AM7*Hoja1!$AT$19</f>
        <v>#DIV/0!</v>
      </c>
      <c r="AR7" s="149" t="e">
        <f t="shared" si="4"/>
        <v>#DIV/0!</v>
      </c>
      <c r="AS7">
        <f t="shared" si="5"/>
        <v>0</v>
      </c>
    </row>
    <row r="8" spans="1:45" x14ac:dyDescent="0.3">
      <c r="A8" s="52">
        <f>'1.GeneralesEmpresa'!A20</f>
        <v>45387</v>
      </c>
      <c r="B8">
        <f>'1.GeneralesEmpresa'!B20</f>
        <v>0</v>
      </c>
      <c r="C8">
        <f>'1.GeneralesEmpresa'!C20</f>
        <v>0</v>
      </c>
      <c r="D8">
        <f>'1.GeneralesEmpresa'!D20</f>
        <v>0</v>
      </c>
      <c r="E8">
        <f>'1.GeneralesEmpresa'!E20</f>
        <v>0</v>
      </c>
      <c r="F8">
        <f>'1.GeneralesEmpresa'!F20</f>
        <v>0</v>
      </c>
      <c r="G8" s="4">
        <f>'1.GeneralesEmpresa'!G20</f>
        <v>0</v>
      </c>
      <c r="H8">
        <f>'1.GeneralesEmpresa'!H20</f>
        <v>0</v>
      </c>
      <c r="I8" s="4"/>
      <c r="W8">
        <f>'3.Administración e iluminación'!E11</f>
        <v>0</v>
      </c>
      <c r="X8">
        <v>7</v>
      </c>
      <c r="Y8">
        <f t="shared" si="0"/>
        <v>0</v>
      </c>
      <c r="Z8">
        <f>'3.Administración e iluminación'!D11</f>
        <v>0</v>
      </c>
      <c r="AA8">
        <f>Y8*'3.Administración e iluminación'!C11*'3.Administración e iluminación'!F11*'3.Administración e iluminación'!G11*4</f>
        <v>0</v>
      </c>
      <c r="AC8">
        <f>'3.Administración e iluminación'!M11</f>
        <v>0</v>
      </c>
      <c r="AD8">
        <f>'3.Administración e iluminación'!L11</f>
        <v>0</v>
      </c>
      <c r="AE8">
        <f t="shared" si="1"/>
        <v>0</v>
      </c>
      <c r="AF8">
        <f>AE8*'3.Administración e iluminación'!K11*'3.Administración e iluminación'!N11*'3.Administración e iluminación'!O11*4</f>
        <v>0</v>
      </c>
      <c r="AH8">
        <f t="shared" si="2"/>
        <v>0</v>
      </c>
      <c r="AI8">
        <f>'3.Administración e iluminación'!R11</f>
        <v>0</v>
      </c>
      <c r="AJ8">
        <f>AH8*AK8*'3.Administración e iluminación'!N11*'3.Administración e iluminación'!O11*4</f>
        <v>0</v>
      </c>
      <c r="AK8">
        <f>IF('3.Administración e iluminación'!Q11="-",0,'3.Administración e iluminación'!Q11)</f>
        <v>0</v>
      </c>
      <c r="AM8">
        <f t="shared" si="3"/>
        <v>0</v>
      </c>
      <c r="AO8">
        <f>AK8*'3.Administración e iluminación'!T11</f>
        <v>0</v>
      </c>
      <c r="AP8" s="149">
        <f>IFERROR(('3.Administración e iluminación'!U11/('3.Administración e iluminación'!O11*4.34*12*'3.Administración e iluminación'!N11)),0)</f>
        <v>0</v>
      </c>
      <c r="AQ8" t="e">
        <f>AM8*Hoja1!$AT$19</f>
        <v>#DIV/0!</v>
      </c>
      <c r="AR8" s="149" t="e">
        <f t="shared" si="4"/>
        <v>#DIV/0!</v>
      </c>
      <c r="AS8">
        <f t="shared" si="5"/>
        <v>0</v>
      </c>
    </row>
    <row r="9" spans="1:45" x14ac:dyDescent="0.3">
      <c r="A9" s="52">
        <f>'1.GeneralesEmpresa'!A21</f>
        <v>45418</v>
      </c>
      <c r="B9">
        <f>'1.GeneralesEmpresa'!B21</f>
        <v>0</v>
      </c>
      <c r="C9">
        <f>'1.GeneralesEmpresa'!C21</f>
        <v>0</v>
      </c>
      <c r="D9">
        <f>'1.GeneralesEmpresa'!D21</f>
        <v>0</v>
      </c>
      <c r="E9">
        <f>'1.GeneralesEmpresa'!E21</f>
        <v>0</v>
      </c>
      <c r="F9">
        <f>'1.GeneralesEmpresa'!F21</f>
        <v>0</v>
      </c>
      <c r="G9" s="4">
        <f>'1.GeneralesEmpresa'!G21</f>
        <v>0</v>
      </c>
      <c r="H9">
        <f>'1.GeneralesEmpresa'!H21</f>
        <v>0</v>
      </c>
      <c r="I9" s="4"/>
      <c r="W9">
        <f>'3.Administración e iluminación'!E12</f>
        <v>0</v>
      </c>
      <c r="X9">
        <v>8</v>
      </c>
      <c r="Y9">
        <f t="shared" si="0"/>
        <v>0</v>
      </c>
      <c r="Z9">
        <f>'3.Administración e iluminación'!D12</f>
        <v>0</v>
      </c>
      <c r="AA9">
        <f>Y9*'3.Administración e iluminación'!C12*'3.Administración e iluminación'!F12*'3.Administración e iluminación'!G12*4</f>
        <v>0</v>
      </c>
      <c r="AC9">
        <f>'3.Administración e iluminación'!M12</f>
        <v>0</v>
      </c>
      <c r="AD9">
        <f>'3.Administración e iluminación'!L12</f>
        <v>0</v>
      </c>
      <c r="AE9">
        <f t="shared" si="1"/>
        <v>0</v>
      </c>
      <c r="AF9">
        <f>AE9*'3.Administración e iluminación'!K12*'3.Administración e iluminación'!N12*'3.Administración e iluminación'!O12*4</f>
        <v>0</v>
      </c>
      <c r="AH9">
        <f t="shared" si="2"/>
        <v>0</v>
      </c>
      <c r="AI9">
        <f>'3.Administración e iluminación'!R12</f>
        <v>0</v>
      </c>
      <c r="AJ9">
        <f>AH9*AK9*'3.Administración e iluminación'!N12*'3.Administración e iluminación'!O12*4</f>
        <v>0</v>
      </c>
      <c r="AK9">
        <f>IF('3.Administración e iluminación'!Q12="-",0,'3.Administración e iluminación'!Q12)</f>
        <v>0</v>
      </c>
      <c r="AM9">
        <f t="shared" si="3"/>
        <v>0</v>
      </c>
      <c r="AO9">
        <f>AK9*'3.Administración e iluminación'!T12</f>
        <v>0</v>
      </c>
      <c r="AP9" s="149">
        <f>IFERROR(('3.Administración e iluminación'!U12/('3.Administración e iluminación'!O12*4.34*12*'3.Administración e iluminación'!N12)),0)</f>
        <v>0</v>
      </c>
      <c r="AQ9" t="e">
        <f>AM9*Hoja1!$AT$19</f>
        <v>#DIV/0!</v>
      </c>
      <c r="AR9" s="149" t="e">
        <f t="shared" si="4"/>
        <v>#DIV/0!</v>
      </c>
      <c r="AS9">
        <f t="shared" si="5"/>
        <v>0</v>
      </c>
    </row>
    <row r="10" spans="1:45" x14ac:dyDescent="0.3">
      <c r="A10" s="52">
        <f>'1.GeneralesEmpresa'!A22</f>
        <v>45449</v>
      </c>
      <c r="B10">
        <f>'1.GeneralesEmpresa'!B22</f>
        <v>0</v>
      </c>
      <c r="C10">
        <f>'1.GeneralesEmpresa'!C22</f>
        <v>0</v>
      </c>
      <c r="D10">
        <f>'1.GeneralesEmpresa'!D22</f>
        <v>0</v>
      </c>
      <c r="E10">
        <f>'1.GeneralesEmpresa'!E22</f>
        <v>0</v>
      </c>
      <c r="F10">
        <f>'1.GeneralesEmpresa'!F22</f>
        <v>0</v>
      </c>
      <c r="G10" s="4">
        <f>'1.GeneralesEmpresa'!G22</f>
        <v>0</v>
      </c>
      <c r="H10">
        <f>'1.GeneralesEmpresa'!H22</f>
        <v>0</v>
      </c>
      <c r="I10" s="4"/>
      <c r="K10" s="116" t="s">
        <v>114</v>
      </c>
      <c r="L10" s="72">
        <v>1</v>
      </c>
      <c r="W10">
        <f>'3.Administración e iluminación'!E13</f>
        <v>0</v>
      </c>
      <c r="X10">
        <v>9</v>
      </c>
      <c r="Y10">
        <f t="shared" si="0"/>
        <v>0</v>
      </c>
      <c r="Z10">
        <f>'3.Administración e iluminación'!D13</f>
        <v>0</v>
      </c>
      <c r="AA10">
        <f>Y10*'3.Administración e iluminación'!C13*'3.Administración e iluminación'!F13*'3.Administración e iluminación'!G13*4</f>
        <v>0</v>
      </c>
      <c r="AC10">
        <f>'3.Administración e iluminación'!M13</f>
        <v>0</v>
      </c>
      <c r="AD10">
        <f>'3.Administración e iluminación'!L13</f>
        <v>0</v>
      </c>
      <c r="AE10">
        <f t="shared" si="1"/>
        <v>0</v>
      </c>
      <c r="AF10">
        <f>AE10*'3.Administración e iluminación'!K13*'3.Administración e iluminación'!N13*'3.Administración e iluminación'!O13*4</f>
        <v>0</v>
      </c>
      <c r="AH10">
        <f t="shared" si="2"/>
        <v>0</v>
      </c>
      <c r="AI10">
        <f>'3.Administración e iluminación'!R13</f>
        <v>0</v>
      </c>
      <c r="AJ10">
        <f>AH10*AK10*'3.Administración e iluminación'!N13*'3.Administración e iluminación'!O13*4</f>
        <v>0</v>
      </c>
      <c r="AK10">
        <f>IF('3.Administración e iluminación'!Q13="-",0,'3.Administración e iluminación'!Q13)</f>
        <v>0</v>
      </c>
      <c r="AM10">
        <f t="shared" si="3"/>
        <v>0</v>
      </c>
      <c r="AO10">
        <f>AK10*'3.Administración e iluminación'!T13</f>
        <v>0</v>
      </c>
      <c r="AP10" s="149">
        <f>IFERROR(('3.Administración e iluminación'!U13/('3.Administración e iluminación'!O13*4.34*12*'3.Administración e iluminación'!N13)),0)</f>
        <v>0</v>
      </c>
      <c r="AQ10" t="e">
        <f>AM10*Hoja1!$AT$19</f>
        <v>#DIV/0!</v>
      </c>
      <c r="AR10" s="149" t="e">
        <f t="shared" si="4"/>
        <v>#DIV/0!</v>
      </c>
      <c r="AS10">
        <f t="shared" si="5"/>
        <v>0</v>
      </c>
    </row>
    <row r="11" spans="1:45" x14ac:dyDescent="0.3">
      <c r="A11" s="52">
        <f>'1.GeneralesEmpresa'!A23</f>
        <v>45480</v>
      </c>
      <c r="B11">
        <f>'1.GeneralesEmpresa'!B23</f>
        <v>0</v>
      </c>
      <c r="C11">
        <f>'1.GeneralesEmpresa'!C23</f>
        <v>0</v>
      </c>
      <c r="D11">
        <f>'1.GeneralesEmpresa'!D23</f>
        <v>0</v>
      </c>
      <c r="E11">
        <f>'1.GeneralesEmpresa'!E23</f>
        <v>0</v>
      </c>
      <c r="F11">
        <f>'1.GeneralesEmpresa'!F23</f>
        <v>0</v>
      </c>
      <c r="G11" s="4">
        <f>'1.GeneralesEmpresa'!G23</f>
        <v>0</v>
      </c>
      <c r="H11">
        <f>'1.GeneralesEmpresa'!H23</f>
        <v>0</v>
      </c>
      <c r="I11" s="4"/>
      <c r="K11" s="110" t="s">
        <v>115</v>
      </c>
      <c r="L11" s="72" t="e">
        <f>N4</f>
        <v>#DIV/0!</v>
      </c>
      <c r="W11">
        <f>'3.Administración e iluminación'!E14</f>
        <v>0</v>
      </c>
      <c r="X11">
        <v>10</v>
      </c>
      <c r="Y11">
        <f t="shared" si="0"/>
        <v>0</v>
      </c>
      <c r="Z11">
        <f>'3.Administración e iluminación'!D14</f>
        <v>0</v>
      </c>
      <c r="AA11">
        <f>Y11*'3.Administración e iluminación'!C14*'3.Administración e iluminación'!F14*'3.Administración e iluminación'!G14*4</f>
        <v>0</v>
      </c>
      <c r="AC11">
        <f>'3.Administración e iluminación'!M14</f>
        <v>0</v>
      </c>
      <c r="AD11">
        <f>'3.Administración e iluminación'!L14</f>
        <v>0</v>
      </c>
      <c r="AE11">
        <f t="shared" si="1"/>
        <v>0</v>
      </c>
      <c r="AF11">
        <f>AE11*'3.Administración e iluminación'!K14*'3.Administración e iluminación'!N14*'3.Administración e iluminación'!O14*4</f>
        <v>0</v>
      </c>
      <c r="AH11">
        <f t="shared" si="2"/>
        <v>0</v>
      </c>
      <c r="AI11">
        <f>'3.Administración e iluminación'!R14</f>
        <v>0</v>
      </c>
      <c r="AJ11">
        <f>AH11*AK11*'3.Administración e iluminación'!N14*'3.Administración e iluminación'!O14*4</f>
        <v>0</v>
      </c>
      <c r="AK11">
        <f>IF('3.Administración e iluminación'!Q14="-",0,'3.Administración e iluminación'!Q14)</f>
        <v>0</v>
      </c>
      <c r="AM11">
        <f t="shared" si="3"/>
        <v>0</v>
      </c>
      <c r="AO11">
        <f>AK11*'3.Administración e iluminación'!T14</f>
        <v>0</v>
      </c>
      <c r="AP11" s="149">
        <f>IFERROR(('3.Administración e iluminación'!U14/('3.Administración e iluminación'!O14*4.34*12*'3.Administración e iluminación'!N14)),0)</f>
        <v>0</v>
      </c>
      <c r="AQ11" t="e">
        <f>AM11*Hoja1!$AT$19</f>
        <v>#DIV/0!</v>
      </c>
      <c r="AR11" s="149" t="e">
        <f t="shared" si="4"/>
        <v>#DIV/0!</v>
      </c>
      <c r="AS11">
        <f t="shared" si="5"/>
        <v>0</v>
      </c>
    </row>
    <row r="12" spans="1:45" x14ac:dyDescent="0.3">
      <c r="A12" s="52">
        <f>'1.GeneralesEmpresa'!A24</f>
        <v>45511</v>
      </c>
      <c r="B12">
        <f>'1.GeneralesEmpresa'!B24</f>
        <v>0</v>
      </c>
      <c r="C12">
        <f>'1.GeneralesEmpresa'!C24</f>
        <v>0</v>
      </c>
      <c r="D12">
        <f>'1.GeneralesEmpresa'!D24</f>
        <v>0</v>
      </c>
      <c r="E12">
        <f>'1.GeneralesEmpresa'!E24</f>
        <v>0</v>
      </c>
      <c r="F12">
        <f>'1.GeneralesEmpresa'!F24</f>
        <v>0</v>
      </c>
      <c r="G12" s="4">
        <f>'1.GeneralesEmpresa'!G24</f>
        <v>0</v>
      </c>
      <c r="H12">
        <f>'1.GeneralesEmpresa'!H24</f>
        <v>0</v>
      </c>
      <c r="I12" s="4"/>
      <c r="W12">
        <f>'3.Administración e iluminación'!E15</f>
        <v>0</v>
      </c>
      <c r="X12">
        <v>11</v>
      </c>
      <c r="Y12">
        <f t="shared" si="0"/>
        <v>0</v>
      </c>
      <c r="Z12">
        <f>'3.Administración e iluminación'!D15</f>
        <v>0</v>
      </c>
      <c r="AA12">
        <f>Y12*'3.Administración e iluminación'!C15*'3.Administración e iluminación'!F15*'3.Administración e iluminación'!G15*4</f>
        <v>0</v>
      </c>
      <c r="AC12">
        <f>'3.Administración e iluminación'!M15</f>
        <v>0</v>
      </c>
      <c r="AD12">
        <f>'3.Administración e iluminación'!L15</f>
        <v>0</v>
      </c>
      <c r="AE12">
        <f t="shared" si="1"/>
        <v>0</v>
      </c>
      <c r="AF12">
        <f>AE12*'3.Administración e iluminación'!K15*'3.Administración e iluminación'!N15*'3.Administración e iluminación'!O15*4</f>
        <v>0</v>
      </c>
      <c r="AH12">
        <f t="shared" si="2"/>
        <v>0</v>
      </c>
      <c r="AI12">
        <f>'3.Administración e iluminación'!R15</f>
        <v>0</v>
      </c>
      <c r="AJ12">
        <f>AH12*AK12*'3.Administración e iluminación'!N15*'3.Administración e iluminación'!O15*4</f>
        <v>0</v>
      </c>
      <c r="AK12">
        <f>IF('3.Administración e iluminación'!Q15="-",0,'3.Administración e iluminación'!Q15)</f>
        <v>0</v>
      </c>
      <c r="AM12">
        <f t="shared" si="3"/>
        <v>0</v>
      </c>
      <c r="AO12">
        <f>AK12*'3.Administración e iluminación'!T15</f>
        <v>0</v>
      </c>
      <c r="AP12" s="149">
        <f>IFERROR(('3.Administración e iluminación'!U15/('3.Administración e iluminación'!O15*4.34*12*'3.Administración e iluminación'!N15)),0)</f>
        <v>0</v>
      </c>
      <c r="AQ12" t="e">
        <f>AM12*Hoja1!$AT$19</f>
        <v>#DIV/0!</v>
      </c>
      <c r="AR12" s="149" t="e">
        <f t="shared" si="4"/>
        <v>#DIV/0!</v>
      </c>
      <c r="AS12">
        <f t="shared" si="5"/>
        <v>0</v>
      </c>
    </row>
    <row r="13" spans="1:45" x14ac:dyDescent="0.3">
      <c r="A13" s="52"/>
      <c r="B13">
        <f>AVERAGE(B1:B12)</f>
        <v>0</v>
      </c>
      <c r="C13">
        <f t="shared" ref="C13:F13" si="6">AVERAGE(C1:C12)</f>
        <v>0</v>
      </c>
      <c r="D13">
        <f t="shared" si="6"/>
        <v>0</v>
      </c>
      <c r="E13">
        <f t="shared" si="6"/>
        <v>0</v>
      </c>
      <c r="F13">
        <f t="shared" si="6"/>
        <v>0</v>
      </c>
      <c r="G13" s="74">
        <f>SUM(G1:G12)</f>
        <v>0</v>
      </c>
      <c r="H13">
        <f>SUM(H1:H12)</f>
        <v>0</v>
      </c>
      <c r="I13" s="74"/>
      <c r="W13">
        <f>'3.Administración e iluminación'!E16</f>
        <v>0</v>
      </c>
      <c r="X13">
        <v>12</v>
      </c>
      <c r="Y13">
        <f t="shared" si="0"/>
        <v>0</v>
      </c>
      <c r="Z13">
        <f>'3.Administración e iluminación'!D16</f>
        <v>0</v>
      </c>
      <c r="AA13">
        <f>Y13*'3.Administración e iluminación'!C16*'3.Administración e iluminación'!F16*'3.Administración e iluminación'!G16*4</f>
        <v>0</v>
      </c>
      <c r="AC13">
        <f>'3.Administración e iluminación'!M16</f>
        <v>0</v>
      </c>
      <c r="AD13">
        <f>'3.Administración e iluminación'!L16</f>
        <v>0</v>
      </c>
      <c r="AE13">
        <f t="shared" si="1"/>
        <v>0</v>
      </c>
      <c r="AF13">
        <f>AE13*'3.Administración e iluminación'!K16*'3.Administración e iluminación'!N16*'3.Administración e iluminación'!O16*4</f>
        <v>0</v>
      </c>
      <c r="AH13">
        <f t="shared" si="2"/>
        <v>0</v>
      </c>
      <c r="AI13">
        <f>'3.Administración e iluminación'!R16</f>
        <v>0</v>
      </c>
      <c r="AJ13">
        <f>AH13*AK13*'3.Administración e iluminación'!N16*'3.Administración e iluminación'!O16*4</f>
        <v>0</v>
      </c>
      <c r="AK13">
        <f>IF('3.Administración e iluminación'!Q16="-",0,'3.Administración e iluminación'!Q16)</f>
        <v>0</v>
      </c>
      <c r="AM13">
        <f t="shared" si="3"/>
        <v>0</v>
      </c>
      <c r="AO13">
        <f>AK13*'3.Administración e iluminación'!T16</f>
        <v>0</v>
      </c>
      <c r="AP13" s="149">
        <f>IFERROR(('3.Administración e iluminación'!U16/('3.Administración e iluminación'!O16*4.34*12*'3.Administración e iluminación'!N16)),0)</f>
        <v>0</v>
      </c>
      <c r="AQ13" t="e">
        <f>AM13*Hoja1!$AT$19</f>
        <v>#DIV/0!</v>
      </c>
      <c r="AR13" s="149" t="e">
        <f t="shared" si="4"/>
        <v>#DIV/0!</v>
      </c>
      <c r="AS13">
        <f t="shared" si="5"/>
        <v>0</v>
      </c>
    </row>
    <row r="14" spans="1:45" x14ac:dyDescent="0.3">
      <c r="A14" s="52"/>
      <c r="B14" s="116" t="s">
        <v>116</v>
      </c>
      <c r="C14" s="116" t="s">
        <v>117</v>
      </c>
      <c r="E14" s="116" t="s">
        <v>61</v>
      </c>
      <c r="W14">
        <f>'3.Administración e iluminación'!E17</f>
        <v>0</v>
      </c>
      <c r="X14">
        <v>13</v>
      </c>
      <c r="Y14">
        <f t="shared" si="0"/>
        <v>0</v>
      </c>
      <c r="Z14">
        <f>'3.Administración e iluminación'!D17</f>
        <v>0</v>
      </c>
      <c r="AA14">
        <f>Y14*'3.Administración e iluminación'!C17*'3.Administración e iluminación'!F17*'3.Administración e iluminación'!G17*4</f>
        <v>0</v>
      </c>
      <c r="AC14">
        <f>'3.Administración e iluminación'!M17</f>
        <v>0</v>
      </c>
      <c r="AD14">
        <f>'3.Administración e iluminación'!L17</f>
        <v>0</v>
      </c>
      <c r="AE14">
        <f t="shared" si="1"/>
        <v>0</v>
      </c>
      <c r="AF14">
        <f>AE14*'3.Administración e iluminación'!K17*'3.Administración e iluminación'!N17*'3.Administración e iluminación'!O17*4</f>
        <v>0</v>
      </c>
      <c r="AH14">
        <f t="shared" si="2"/>
        <v>0</v>
      </c>
      <c r="AI14">
        <f>'3.Administración e iluminación'!R17</f>
        <v>0</v>
      </c>
      <c r="AJ14">
        <f>AH14*AK14*'3.Administración e iluminación'!N17*'3.Administración e iluminación'!O17*4</f>
        <v>0</v>
      </c>
      <c r="AK14">
        <f>IF('3.Administración e iluminación'!Q17="-",0,'3.Administración e iluminación'!Q17)</f>
        <v>0</v>
      </c>
      <c r="AM14">
        <f t="shared" si="3"/>
        <v>0</v>
      </c>
      <c r="AO14">
        <f>AK14*'3.Administración e iluminación'!T17</f>
        <v>0</v>
      </c>
      <c r="AP14" s="149">
        <f>IFERROR(('3.Administración e iluminación'!U17/('3.Administración e iluminación'!O17*4.34*12*'3.Administración e iluminación'!N17)),0)</f>
        <v>0</v>
      </c>
      <c r="AQ14" t="e">
        <f>AM14*Hoja1!$AT$19</f>
        <v>#DIV/0!</v>
      </c>
      <c r="AR14" s="149" t="e">
        <f t="shared" si="4"/>
        <v>#DIV/0!</v>
      </c>
      <c r="AS14">
        <f t="shared" si="5"/>
        <v>0</v>
      </c>
    </row>
    <row r="15" spans="1:45" x14ac:dyDescent="0.3">
      <c r="A15" s="52"/>
      <c r="W15">
        <f>'3.Administración e iluminación'!E18</f>
        <v>0</v>
      </c>
      <c r="X15">
        <v>14</v>
      </c>
      <c r="Y15">
        <f t="shared" si="0"/>
        <v>0</v>
      </c>
      <c r="Z15">
        <f>'3.Administración e iluminación'!D18</f>
        <v>0</v>
      </c>
      <c r="AA15">
        <f>Y15*'3.Administración e iluminación'!C18*'3.Administración e iluminación'!F18*'3.Administración e iluminación'!G18*4</f>
        <v>0</v>
      </c>
      <c r="AC15">
        <f>'3.Administración e iluminación'!M18</f>
        <v>0</v>
      </c>
      <c r="AD15">
        <f>'3.Administración e iluminación'!L18</f>
        <v>0</v>
      </c>
      <c r="AE15">
        <f t="shared" si="1"/>
        <v>0</v>
      </c>
      <c r="AF15">
        <f>AE15*'3.Administración e iluminación'!K18*'3.Administración e iluminación'!N18*'3.Administración e iluminación'!O18*4</f>
        <v>0</v>
      </c>
      <c r="AH15">
        <f t="shared" si="2"/>
        <v>0</v>
      </c>
      <c r="AI15">
        <f>'3.Administración e iluminación'!R18</f>
        <v>0</v>
      </c>
      <c r="AJ15">
        <f>AH15*AK15*'3.Administración e iluminación'!N18*'3.Administración e iluminación'!O18*4</f>
        <v>0</v>
      </c>
      <c r="AK15">
        <f>IF('3.Administración e iluminación'!Q18="-",0,'3.Administración e iluminación'!Q18)</f>
        <v>0</v>
      </c>
      <c r="AM15">
        <f t="shared" si="3"/>
        <v>0</v>
      </c>
      <c r="AO15">
        <f>AK15*'3.Administración e iluminación'!T18</f>
        <v>0</v>
      </c>
      <c r="AP15" s="149">
        <f>IFERROR(('3.Administración e iluminación'!U18/('3.Administración e iluminación'!O18*4.34*12*'3.Administración e iluminación'!N18)),0)</f>
        <v>0</v>
      </c>
      <c r="AQ15" t="e">
        <f>AM15*Hoja1!$AT$19</f>
        <v>#DIV/0!</v>
      </c>
      <c r="AR15" s="149" t="e">
        <f t="shared" si="4"/>
        <v>#DIV/0!</v>
      </c>
      <c r="AS15">
        <f t="shared" si="5"/>
        <v>0</v>
      </c>
    </row>
    <row r="16" spans="1:45" x14ac:dyDescent="0.3">
      <c r="A16" s="52"/>
      <c r="B16" s="116" t="s">
        <v>116</v>
      </c>
      <c r="C16" s="116" t="s">
        <v>61</v>
      </c>
      <c r="D16" s="116" t="s">
        <v>117</v>
      </c>
      <c r="W16">
        <f>'3.Administración e iluminación'!E19</f>
        <v>0</v>
      </c>
      <c r="X16">
        <v>15</v>
      </c>
      <c r="Y16">
        <f t="shared" si="0"/>
        <v>0</v>
      </c>
      <c r="Z16">
        <f>'3.Administración e iluminación'!D19</f>
        <v>0</v>
      </c>
      <c r="AA16">
        <f>Y16*'3.Administración e iluminación'!C19*'3.Administración e iluminación'!F19*'3.Administración e iluminación'!G19*4</f>
        <v>0</v>
      </c>
      <c r="AC16">
        <f>'3.Administración e iluminación'!M19</f>
        <v>0</v>
      </c>
      <c r="AD16">
        <f>'3.Administración e iluminación'!L19</f>
        <v>0</v>
      </c>
      <c r="AE16">
        <f t="shared" si="1"/>
        <v>0</v>
      </c>
      <c r="AF16">
        <f>AE16*'3.Administración e iluminación'!K19*'3.Administración e iluminación'!N19*'3.Administración e iluminación'!O19*4</f>
        <v>0</v>
      </c>
      <c r="AH16">
        <f t="shared" si="2"/>
        <v>0</v>
      </c>
      <c r="AI16">
        <f>'3.Administración e iluminación'!R19</f>
        <v>0</v>
      </c>
      <c r="AJ16">
        <f>AH16*AK16*'3.Administración e iluminación'!N19*'3.Administración e iluminación'!O19*4</f>
        <v>0</v>
      </c>
      <c r="AK16">
        <f>IF('3.Administración e iluminación'!Q19="-",0,'3.Administración e iluminación'!Q19)</f>
        <v>0</v>
      </c>
      <c r="AM16">
        <f t="shared" si="3"/>
        <v>0</v>
      </c>
      <c r="AO16">
        <f>AK16*'3.Administración e iluminación'!T19</f>
        <v>0</v>
      </c>
      <c r="AP16" s="149">
        <f>IFERROR(('3.Administración e iluminación'!U19/('3.Administración e iluminación'!O19*4.34*12*'3.Administración e iluminación'!N19)),0)</f>
        <v>0</v>
      </c>
      <c r="AQ16" t="e">
        <f>AM16*Hoja1!$AT$19</f>
        <v>#DIV/0!</v>
      </c>
      <c r="AR16" s="149" t="e">
        <f t="shared" si="4"/>
        <v>#DIV/0!</v>
      </c>
      <c r="AS16">
        <f t="shared" si="5"/>
        <v>0</v>
      </c>
    </row>
    <row r="17" spans="2:45" x14ac:dyDescent="0.3">
      <c r="B17">
        <f>B13</f>
        <v>0</v>
      </c>
      <c r="C17">
        <f>E13</f>
        <v>0</v>
      </c>
      <c r="D17">
        <f>C13</f>
        <v>0</v>
      </c>
      <c r="W17">
        <f>'3.Administración e iluminación'!E20</f>
        <v>0</v>
      </c>
      <c r="X17">
        <v>16</v>
      </c>
      <c r="Y17">
        <f t="shared" si="0"/>
        <v>0</v>
      </c>
      <c r="Z17">
        <f>'3.Administración e iluminación'!D20</f>
        <v>0</v>
      </c>
      <c r="AA17">
        <f>Y17*'3.Administración e iluminación'!C20*'3.Administración e iluminación'!F20*'3.Administración e iluminación'!G20*4</f>
        <v>0</v>
      </c>
      <c r="AC17">
        <f>'3.Administración e iluminación'!M20</f>
        <v>0</v>
      </c>
      <c r="AD17">
        <f>'3.Administración e iluminación'!L20</f>
        <v>0</v>
      </c>
      <c r="AE17">
        <f t="shared" si="1"/>
        <v>0</v>
      </c>
      <c r="AF17">
        <f>AE17*'3.Administración e iluminación'!K20*'3.Administración e iluminación'!N20*'3.Administración e iluminación'!O20*4</f>
        <v>0</v>
      </c>
      <c r="AH17">
        <f t="shared" si="2"/>
        <v>0</v>
      </c>
      <c r="AI17">
        <f>'3.Administración e iluminación'!R20</f>
        <v>0</v>
      </c>
      <c r="AJ17">
        <f>AH17*AK17*'3.Administración e iluminación'!N20*'3.Administración e iluminación'!O20*4</f>
        <v>0</v>
      </c>
      <c r="AK17">
        <f>IF('3.Administración e iluminación'!Q20="-",0,'3.Administración e iluminación'!Q20)</f>
        <v>0</v>
      </c>
      <c r="AM17">
        <f t="shared" si="3"/>
        <v>0</v>
      </c>
      <c r="AO17">
        <f>AK17*'3.Administración e iluminación'!T20</f>
        <v>0</v>
      </c>
      <c r="AP17" s="149">
        <f>IFERROR(('3.Administración e iluminación'!U20/('3.Administración e iluminación'!O20*4.34*12*'3.Administración e iluminación'!N20)),0)</f>
        <v>0</v>
      </c>
      <c r="AQ17" t="e">
        <f>AM17*Hoja1!$AT$19</f>
        <v>#DIV/0!</v>
      </c>
      <c r="AR17" s="149" t="e">
        <f t="shared" si="4"/>
        <v>#DIV/0!</v>
      </c>
      <c r="AS17">
        <f t="shared" si="5"/>
        <v>0</v>
      </c>
    </row>
    <row r="18" spans="2:45" x14ac:dyDescent="0.3">
      <c r="B18" s="73" t="e">
        <f>SUM(C18:D18)</f>
        <v>#DIV/0!</v>
      </c>
      <c r="C18" s="72" t="e">
        <f>C17/B17</f>
        <v>#DIV/0!</v>
      </c>
      <c r="D18" s="72" t="e">
        <f>D17/B17</f>
        <v>#DIV/0!</v>
      </c>
      <c r="W18">
        <f>'3.Administración e iluminación'!E21</f>
        <v>0</v>
      </c>
      <c r="X18">
        <v>17</v>
      </c>
      <c r="Y18">
        <f t="shared" si="0"/>
        <v>0</v>
      </c>
      <c r="Z18">
        <f>'3.Administración e iluminación'!D21</f>
        <v>0</v>
      </c>
      <c r="AA18">
        <f>Y18*'3.Administración e iluminación'!C21*'3.Administración e iluminación'!F21*'3.Administración e iluminación'!G21*4</f>
        <v>0</v>
      </c>
      <c r="AC18">
        <f>'3.Administración e iluminación'!M21</f>
        <v>0</v>
      </c>
      <c r="AD18">
        <f>'3.Administración e iluminación'!L21</f>
        <v>0</v>
      </c>
      <c r="AE18">
        <f t="shared" si="1"/>
        <v>0</v>
      </c>
      <c r="AF18">
        <f>AE18*'3.Administración e iluminación'!K21*'3.Administración e iluminación'!N21*'3.Administración e iluminación'!O21*4</f>
        <v>0</v>
      </c>
      <c r="AH18">
        <f t="shared" si="2"/>
        <v>0</v>
      </c>
      <c r="AI18">
        <f>'3.Administración e iluminación'!R21</f>
        <v>0</v>
      </c>
      <c r="AJ18">
        <f>AH18*AK18*'3.Administración e iluminación'!N21*'3.Administración e iluminación'!O21*4</f>
        <v>0</v>
      </c>
      <c r="AK18">
        <f>IF('3.Administración e iluminación'!Q21="-",0,'3.Administración e iluminación'!Q21)</f>
        <v>0</v>
      </c>
      <c r="AM18">
        <f t="shared" si="3"/>
        <v>0</v>
      </c>
      <c r="AO18">
        <f>AK18*'3.Administración e iluminación'!T21</f>
        <v>0</v>
      </c>
      <c r="AP18" s="149">
        <f>IFERROR(('3.Administración e iluminación'!U21/('3.Administración e iluminación'!O21*4.34*12*'3.Administración e iluminación'!N21)),0)</f>
        <v>0</v>
      </c>
      <c r="AQ18" t="e">
        <f>AM18*Hoja1!$AT$19</f>
        <v>#DIV/0!</v>
      </c>
      <c r="AR18" s="149" t="e">
        <f t="shared" si="4"/>
        <v>#DIV/0!</v>
      </c>
      <c r="AS18">
        <f t="shared" si="5"/>
        <v>0</v>
      </c>
    </row>
    <row r="19" spans="2:45" x14ac:dyDescent="0.3">
      <c r="W19">
        <f>'3.Administración e iluminación'!E22</f>
        <v>0</v>
      </c>
      <c r="X19">
        <v>18</v>
      </c>
      <c r="Y19">
        <f t="shared" si="0"/>
        <v>0</v>
      </c>
      <c r="Z19">
        <f>'3.Administración e iluminación'!D22</f>
        <v>0</v>
      </c>
      <c r="AA19">
        <f>Y19*'3.Administración e iluminación'!C22*'3.Administración e iluminación'!F22*'3.Administración e iluminación'!G22*4</f>
        <v>0</v>
      </c>
      <c r="AC19">
        <f>'3.Administración e iluminación'!M22</f>
        <v>0</v>
      </c>
      <c r="AD19">
        <f>'3.Administración e iluminación'!L22</f>
        <v>0</v>
      </c>
      <c r="AE19">
        <f t="shared" si="1"/>
        <v>0</v>
      </c>
      <c r="AF19">
        <f>AE19*'3.Administración e iluminación'!K22*'3.Administración e iluminación'!N22*'3.Administración e iluminación'!O22*4</f>
        <v>0</v>
      </c>
      <c r="AH19">
        <f t="shared" si="2"/>
        <v>0</v>
      </c>
      <c r="AI19">
        <f>'3.Administración e iluminación'!R22</f>
        <v>0</v>
      </c>
      <c r="AJ19">
        <f>AH19*AK19*'3.Administración e iluminación'!N22*'3.Administración e iluminación'!O22*4</f>
        <v>0</v>
      </c>
      <c r="AK19">
        <f>IF('3.Administración e iluminación'!Q22="-",0,'3.Administración e iluminación'!Q22)</f>
        <v>0</v>
      </c>
      <c r="AM19">
        <f t="shared" si="3"/>
        <v>0</v>
      </c>
      <c r="AO19">
        <f>AK19*'3.Administración e iluminación'!T22</f>
        <v>0</v>
      </c>
      <c r="AP19" s="149">
        <f>IFERROR(('3.Administración e iluminación'!U22/('3.Administración e iluminación'!O22*4.34*12*'3.Administración e iluminación'!N22)),0)</f>
        <v>0</v>
      </c>
      <c r="AQ19" t="e">
        <f>AM19*Hoja1!$AT$19</f>
        <v>#DIV/0!</v>
      </c>
      <c r="AR19" s="149" t="e">
        <f t="shared" si="4"/>
        <v>#DIV/0!</v>
      </c>
      <c r="AS19">
        <f t="shared" si="5"/>
        <v>0</v>
      </c>
    </row>
    <row r="20" spans="2:45" x14ac:dyDescent="0.3">
      <c r="W20">
        <f>'3.Administración e iluminación'!E23</f>
        <v>0</v>
      </c>
      <c r="X20">
        <v>19</v>
      </c>
      <c r="Y20">
        <f t="shared" si="0"/>
        <v>0</v>
      </c>
      <c r="Z20">
        <f>'3.Administración e iluminación'!D23</f>
        <v>0</v>
      </c>
      <c r="AA20">
        <f>Y20*'3.Administración e iluminación'!C23*'3.Administración e iluminación'!F23*'3.Administración e iluminación'!G23*4</f>
        <v>0</v>
      </c>
      <c r="AC20">
        <f>'3.Administración e iluminación'!M23</f>
        <v>0</v>
      </c>
      <c r="AD20">
        <f>'3.Administración e iluminación'!L23</f>
        <v>0</v>
      </c>
      <c r="AE20">
        <f t="shared" si="1"/>
        <v>0</v>
      </c>
      <c r="AF20">
        <f>AE20*'3.Administración e iluminación'!K23*'3.Administración e iluminación'!N23*'3.Administración e iluminación'!O23*4</f>
        <v>0</v>
      </c>
      <c r="AH20">
        <f t="shared" si="2"/>
        <v>0</v>
      </c>
      <c r="AI20">
        <f>'3.Administración e iluminación'!R23</f>
        <v>0</v>
      </c>
      <c r="AJ20">
        <f>AH20*AK20*'3.Administración e iluminación'!N23*'3.Administración e iluminación'!O23*4</f>
        <v>0</v>
      </c>
      <c r="AK20">
        <f>IF('3.Administración e iluminación'!Q23="-",0,'3.Administración e iluminación'!Q23)</f>
        <v>0</v>
      </c>
      <c r="AM20">
        <f t="shared" si="3"/>
        <v>0</v>
      </c>
      <c r="AO20">
        <f>AK20*'3.Administración e iluminación'!T23</f>
        <v>0</v>
      </c>
      <c r="AP20" s="149">
        <f>IFERROR(('3.Administración e iluminación'!U23/('3.Administración e iluminación'!O23*4.34*12*'3.Administración e iluminación'!N23)),0)</f>
        <v>0</v>
      </c>
      <c r="AQ20" t="e">
        <f>AM20*Hoja1!$AT$19</f>
        <v>#DIV/0!</v>
      </c>
      <c r="AR20" s="149" t="e">
        <f t="shared" si="4"/>
        <v>#DIV/0!</v>
      </c>
      <c r="AS20">
        <f t="shared" si="5"/>
        <v>0</v>
      </c>
    </row>
    <row r="21" spans="2:45" x14ac:dyDescent="0.3">
      <c r="W21">
        <f>'3.Administración e iluminación'!E24</f>
        <v>0</v>
      </c>
      <c r="X21">
        <v>20</v>
      </c>
      <c r="Y21">
        <f t="shared" si="0"/>
        <v>0</v>
      </c>
      <c r="Z21">
        <f>'3.Administración e iluminación'!D24</f>
        <v>0</v>
      </c>
      <c r="AA21">
        <f>Y21*'3.Administración e iluminación'!C24*'3.Administración e iluminación'!F24*'3.Administración e iluminación'!G24*4</f>
        <v>0</v>
      </c>
      <c r="AC21">
        <f>'3.Administración e iluminación'!M24</f>
        <v>0</v>
      </c>
      <c r="AD21">
        <f>'3.Administración e iluminación'!L24</f>
        <v>0</v>
      </c>
      <c r="AE21">
        <f t="shared" si="1"/>
        <v>0</v>
      </c>
      <c r="AF21">
        <f>AE21*'3.Administración e iluminación'!K24*'3.Administración e iluminación'!N24*'3.Administración e iluminación'!O24*4</f>
        <v>0</v>
      </c>
      <c r="AH21">
        <f t="shared" si="2"/>
        <v>0</v>
      </c>
      <c r="AI21">
        <f>'3.Administración e iluminación'!R24</f>
        <v>0</v>
      </c>
      <c r="AJ21">
        <f>AH21*AK21*'3.Administración e iluminación'!N24*'3.Administración e iluminación'!O24*4</f>
        <v>0</v>
      </c>
      <c r="AK21">
        <f>IF('3.Administración e iluminación'!Q24="-",0,'3.Administración e iluminación'!Q24)</f>
        <v>0</v>
      </c>
      <c r="AM21">
        <f t="shared" si="3"/>
        <v>0</v>
      </c>
      <c r="AO21">
        <f>AK21*'3.Administración e iluminación'!T24</f>
        <v>0</v>
      </c>
      <c r="AP21" s="149">
        <f>IFERROR(('3.Administración e iluminación'!U24/('3.Administración e iluminación'!O24*4.34*12*'3.Administración e iluminación'!N24)),0)</f>
        <v>0</v>
      </c>
      <c r="AQ21" t="e">
        <f>AM21*Hoja1!$AT$19</f>
        <v>#DIV/0!</v>
      </c>
      <c r="AR21" s="149" t="e">
        <f t="shared" si="4"/>
        <v>#DIV/0!</v>
      </c>
      <c r="AS21">
        <f t="shared" si="5"/>
        <v>0</v>
      </c>
    </row>
    <row r="22" spans="2:45" x14ac:dyDescent="0.3">
      <c r="AA22" s="1">
        <f>SUM(AA2:AA21)</f>
        <v>0</v>
      </c>
      <c r="AF22" s="1">
        <f>SUM(AF2:AF21)</f>
        <v>0</v>
      </c>
      <c r="AJ22" s="1">
        <f>SUM(AJ2:AJ21)</f>
        <v>0</v>
      </c>
      <c r="AM22" s="1">
        <f>AF22-AJ22</f>
        <v>0</v>
      </c>
      <c r="AN22" s="140" t="s">
        <v>132</v>
      </c>
      <c r="AO22" s="9">
        <f>SUM(AO2:AO21)</f>
        <v>0</v>
      </c>
    </row>
    <row r="23" spans="2:45" x14ac:dyDescent="0.3">
      <c r="AM23" s="140" t="s">
        <v>352</v>
      </c>
    </row>
    <row r="24" spans="2:45" x14ac:dyDescent="0.3">
      <c r="X24" s="140" t="s">
        <v>354</v>
      </c>
    </row>
    <row r="25" spans="2:45" x14ac:dyDescent="0.3">
      <c r="X25" s="4">
        <f>AO22</f>
        <v>0</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13574-9648-45DE-B39F-1CB8C5C814B5}">
  <dimension ref="A1:J39"/>
  <sheetViews>
    <sheetView topLeftCell="A21" workbookViewId="0">
      <selection activeCell="F11" sqref="F11"/>
    </sheetView>
  </sheetViews>
  <sheetFormatPr baseColWidth="10" defaultRowHeight="14" x14ac:dyDescent="0.3"/>
  <cols>
    <col min="1" max="1" width="17.1640625" customWidth="1"/>
    <col min="3" max="3" width="28.4140625" customWidth="1"/>
    <col min="7" max="7" width="22.83203125" customWidth="1"/>
  </cols>
  <sheetData>
    <row r="1" spans="1:10" x14ac:dyDescent="0.3">
      <c r="A1" s="371" t="s">
        <v>516</v>
      </c>
      <c r="B1" s="372"/>
      <c r="C1" s="372"/>
      <c r="D1" s="372"/>
      <c r="E1" s="372"/>
      <c r="F1" s="372"/>
      <c r="G1" s="372"/>
      <c r="H1" s="372"/>
      <c r="I1" s="372"/>
      <c r="J1" s="373"/>
    </row>
    <row r="2" spans="1:10" x14ac:dyDescent="0.3">
      <c r="A2" s="378" t="s">
        <v>517</v>
      </c>
      <c r="B2" s="381">
        <v>0.21303</v>
      </c>
      <c r="C2" s="377" t="s">
        <v>518</v>
      </c>
      <c r="D2" s="376"/>
      <c r="E2" s="376"/>
      <c r="F2" s="376"/>
      <c r="G2" s="376"/>
      <c r="H2" s="376"/>
      <c r="I2" s="376"/>
      <c r="J2" s="379"/>
    </row>
    <row r="3" spans="1:10" x14ac:dyDescent="0.3">
      <c r="A3" s="380" t="s">
        <v>519</v>
      </c>
      <c r="B3" s="374"/>
      <c r="C3" s="374"/>
      <c r="D3" s="374"/>
      <c r="E3" s="374"/>
      <c r="F3" s="374"/>
      <c r="G3" s="374"/>
      <c r="H3" s="374"/>
      <c r="I3" s="374"/>
      <c r="J3" s="375"/>
    </row>
    <row r="5" spans="1:10" ht="14" customHeight="1" x14ac:dyDescent="0.3">
      <c r="A5" s="518" t="s">
        <v>520</v>
      </c>
      <c r="B5" s="519"/>
      <c r="C5" s="519"/>
      <c r="D5" s="519"/>
      <c r="E5" s="519"/>
      <c r="F5" s="519"/>
      <c r="G5" s="519"/>
      <c r="H5" s="519"/>
      <c r="I5" s="519"/>
      <c r="J5" s="520"/>
    </row>
    <row r="6" spans="1:10" x14ac:dyDescent="0.3">
      <c r="A6" s="521"/>
      <c r="B6" s="522"/>
      <c r="C6" s="522"/>
      <c r="D6" s="522"/>
      <c r="E6" s="522"/>
      <c r="F6" s="522"/>
      <c r="G6" s="522"/>
      <c r="H6" s="522"/>
      <c r="I6" s="522"/>
      <c r="J6" s="523"/>
    </row>
    <row r="7" spans="1:10" x14ac:dyDescent="0.3">
      <c r="A7" s="524"/>
      <c r="B7" s="525"/>
      <c r="C7" s="525"/>
      <c r="D7" s="525"/>
      <c r="E7" s="525"/>
      <c r="F7" s="525"/>
      <c r="G7" s="525"/>
      <c r="H7" s="525"/>
      <c r="I7" s="525"/>
      <c r="J7" s="526"/>
    </row>
    <row r="9" spans="1:10" s="382" customFormat="1" ht="27" customHeight="1" x14ac:dyDescent="0.3">
      <c r="C9" s="383" t="s">
        <v>118</v>
      </c>
      <c r="D9" s="383" t="s">
        <v>119</v>
      </c>
      <c r="E9" s="383" t="s">
        <v>120</v>
      </c>
      <c r="G9" s="383" t="s">
        <v>193</v>
      </c>
      <c r="H9" s="383" t="s">
        <v>188</v>
      </c>
    </row>
    <row r="10" spans="1:10" s="384" customFormat="1" ht="27" customHeight="1" x14ac:dyDescent="0.3">
      <c r="C10" s="385" t="s">
        <v>122</v>
      </c>
      <c r="D10" s="387">
        <f>Hoja1!B53</f>
        <v>9.48</v>
      </c>
      <c r="E10" s="387">
        <f>Hoja1!B84</f>
        <v>9.48</v>
      </c>
      <c r="G10" s="385" t="s">
        <v>122</v>
      </c>
      <c r="H10" s="387">
        <f>Hoja1!B115</f>
        <v>9.48</v>
      </c>
    </row>
    <row r="11" spans="1:10" s="384" customFormat="1" ht="27" customHeight="1" x14ac:dyDescent="0.3">
      <c r="C11" s="386" t="s">
        <v>127</v>
      </c>
      <c r="D11" s="387">
        <f>Hoja1!B54</f>
        <v>0.36030000000000001</v>
      </c>
      <c r="E11" s="387">
        <f>Hoja1!B85</f>
        <v>0.3327</v>
      </c>
      <c r="G11" s="328" t="s">
        <v>199</v>
      </c>
      <c r="H11" s="387"/>
    </row>
    <row r="12" spans="1:10" s="384" customFormat="1" ht="27" customHeight="1" x14ac:dyDescent="0.3">
      <c r="C12" s="385" t="s">
        <v>136</v>
      </c>
      <c r="D12" s="387">
        <f>Hoja1!B55</f>
        <v>0.30120000000000002</v>
      </c>
      <c r="E12" s="387">
        <f>Hoja1!B86</f>
        <v>0.2782</v>
      </c>
      <c r="G12" s="386" t="s">
        <v>127</v>
      </c>
      <c r="H12" s="387">
        <f>Hoja1!B117</f>
        <v>2.0501</v>
      </c>
    </row>
    <row r="13" spans="1:10" s="384" customFormat="1" ht="27" customHeight="1" x14ac:dyDescent="0.3">
      <c r="C13" s="386" t="s">
        <v>152</v>
      </c>
      <c r="D13" s="387">
        <f>Hoja1!B56</f>
        <v>68.3</v>
      </c>
      <c r="E13" s="387">
        <f>Hoja1!B87</f>
        <v>66.95</v>
      </c>
      <c r="G13" s="385" t="s">
        <v>136</v>
      </c>
      <c r="H13" s="387">
        <f>Hoja1!B118</f>
        <v>0.30120000000000002</v>
      </c>
    </row>
    <row r="14" spans="1:10" s="384" customFormat="1" ht="27" customHeight="1" x14ac:dyDescent="0.3">
      <c r="C14" s="385" t="s">
        <v>179</v>
      </c>
      <c r="D14" s="387">
        <f>Hoja1!B57</f>
        <v>83.72</v>
      </c>
      <c r="E14" s="387">
        <f>Hoja1!B88</f>
        <v>16</v>
      </c>
      <c r="G14" s="386" t="s">
        <v>207</v>
      </c>
      <c r="H14" s="387">
        <f>Hoja1!B119</f>
        <v>78.66</v>
      </c>
    </row>
    <row r="15" spans="1:10" s="384" customFormat="1" ht="27" customHeight="1" x14ac:dyDescent="0.3">
      <c r="C15" s="386" t="s">
        <v>183</v>
      </c>
      <c r="D15" s="387">
        <f>Hoja1!B58</f>
        <v>64.09</v>
      </c>
      <c r="E15" s="387">
        <f>Hoja1!B89</f>
        <v>16.45</v>
      </c>
      <c r="G15" s="328" t="s">
        <v>210</v>
      </c>
      <c r="H15" s="387"/>
    </row>
    <row r="16" spans="1:10" s="384" customFormat="1" ht="27" customHeight="1" x14ac:dyDescent="0.3">
      <c r="C16" s="385" t="s">
        <v>186</v>
      </c>
      <c r="D16" s="387">
        <f>Hoja1!B59</f>
        <v>4.82E-2</v>
      </c>
      <c r="E16" s="387">
        <f>Hoja1!B90</f>
        <v>4.82E-2</v>
      </c>
      <c r="G16" s="386" t="s">
        <v>127</v>
      </c>
      <c r="H16" s="387">
        <f>Hoja1!B121</f>
        <v>2.4232999999999998</v>
      </c>
    </row>
    <row r="17" spans="3:8" s="384" customFormat="1" ht="27" customHeight="1" x14ac:dyDescent="0.3">
      <c r="C17" s="328"/>
      <c r="D17" s="387"/>
      <c r="E17" s="387"/>
      <c r="G17" s="385" t="s">
        <v>136</v>
      </c>
      <c r="H17" s="387">
        <f>Hoja1!B122</f>
        <v>0.30120000000000002</v>
      </c>
    </row>
    <row r="18" spans="3:8" s="384" customFormat="1" ht="27" customHeight="1" x14ac:dyDescent="0.3">
      <c r="C18" s="383" t="s">
        <v>191</v>
      </c>
      <c r="D18" s="383" t="str">
        <f>Hoja1!B61</f>
        <v>BT 3</v>
      </c>
      <c r="E18" s="383" t="str">
        <f>Hoja1!B92</f>
        <v>MT3</v>
      </c>
      <c r="G18" s="386" t="s">
        <v>207</v>
      </c>
      <c r="H18" s="387">
        <f>Hoja1!B123</f>
        <v>78.66</v>
      </c>
    </row>
    <row r="19" spans="3:8" s="384" customFormat="1" ht="27" customHeight="1" x14ac:dyDescent="0.3">
      <c r="C19" s="385" t="s">
        <v>122</v>
      </c>
      <c r="D19" s="387">
        <f>Hoja1!B62</f>
        <v>9.48</v>
      </c>
      <c r="E19" s="387">
        <f>Hoja1!B93</f>
        <v>9.48</v>
      </c>
      <c r="G19" s="328"/>
      <c r="H19" s="387"/>
    </row>
    <row r="20" spans="3:8" s="384" customFormat="1" ht="27" customHeight="1" x14ac:dyDescent="0.3">
      <c r="C20" s="386" t="s">
        <v>127</v>
      </c>
      <c r="D20" s="387">
        <f>Hoja1!B63</f>
        <v>0.36030000000000001</v>
      </c>
      <c r="E20" s="387">
        <f>Hoja1!B94</f>
        <v>0.3327</v>
      </c>
      <c r="G20" s="328"/>
      <c r="H20" s="387"/>
    </row>
    <row r="21" spans="3:8" s="384" customFormat="1" ht="27" customHeight="1" x14ac:dyDescent="0.3">
      <c r="C21" s="385" t="s">
        <v>136</v>
      </c>
      <c r="D21" s="387">
        <f>Hoja1!B64</f>
        <v>0.30120000000000002</v>
      </c>
      <c r="E21" s="387">
        <f>Hoja1!B95</f>
        <v>0.2782</v>
      </c>
      <c r="G21" s="383" t="s">
        <v>224</v>
      </c>
      <c r="H21" s="383" t="str">
        <f>Hoja1!B126</f>
        <v>BT5B</v>
      </c>
    </row>
    <row r="22" spans="3:8" s="384" customFormat="1" ht="27" customHeight="1" x14ac:dyDescent="0.3">
      <c r="C22" s="386" t="s">
        <v>204</v>
      </c>
      <c r="D22" s="387"/>
      <c r="E22" s="387"/>
      <c r="G22" s="385" t="s">
        <v>122</v>
      </c>
      <c r="H22" s="387">
        <f>Hoja1!B127</f>
        <v>3.69</v>
      </c>
    </row>
    <row r="23" spans="3:8" s="384" customFormat="1" ht="27" customHeight="1" x14ac:dyDescent="0.3">
      <c r="C23" s="385" t="s">
        <v>206</v>
      </c>
      <c r="D23" s="387">
        <f>Hoja1!B66</f>
        <v>50.39</v>
      </c>
      <c r="E23" s="387">
        <f>Hoja1!B97</f>
        <v>58.71</v>
      </c>
      <c r="G23" s="328" t="s">
        <v>230</v>
      </c>
      <c r="H23" s="387"/>
    </row>
    <row r="24" spans="3:8" s="384" customFormat="1" ht="27" customHeight="1" x14ac:dyDescent="0.3">
      <c r="C24" s="386" t="s">
        <v>209</v>
      </c>
      <c r="D24" s="387">
        <f>Hoja1!B67</f>
        <v>46.23</v>
      </c>
      <c r="E24" s="387">
        <f>Hoja1!B98</f>
        <v>36.83</v>
      </c>
      <c r="G24" s="328" t="s">
        <v>233</v>
      </c>
      <c r="H24" s="387"/>
    </row>
    <row r="25" spans="3:8" s="384" customFormat="1" ht="27" customHeight="1" x14ac:dyDescent="0.3">
      <c r="C25" s="385" t="s">
        <v>212</v>
      </c>
      <c r="D25" s="387"/>
      <c r="E25" s="387"/>
      <c r="G25" s="386" t="s">
        <v>229</v>
      </c>
      <c r="H25" s="387">
        <f>Hoja1!B130</f>
        <v>0.7137</v>
      </c>
    </row>
    <row r="26" spans="3:8" s="384" customFormat="1" ht="27" customHeight="1" x14ac:dyDescent="0.3">
      <c r="C26" s="386" t="s">
        <v>206</v>
      </c>
      <c r="D26" s="387">
        <f>Hoja1!B69</f>
        <v>83.43</v>
      </c>
      <c r="E26" s="387">
        <f>Hoja1!B100</f>
        <v>17.02</v>
      </c>
      <c r="G26" s="328" t="s">
        <v>237</v>
      </c>
      <c r="H26" s="387"/>
    </row>
    <row r="27" spans="3:8" s="384" customFormat="1" ht="27" customHeight="1" x14ac:dyDescent="0.3">
      <c r="C27" s="385" t="s">
        <v>209</v>
      </c>
      <c r="D27" s="387">
        <f>Hoja1!B70</f>
        <v>80.260000000000005</v>
      </c>
      <c r="E27" s="387">
        <f>Hoja1!B101</f>
        <v>16.809999999999999</v>
      </c>
      <c r="G27" s="386" t="s">
        <v>229</v>
      </c>
      <c r="H27" s="387">
        <f>Hoja1!B132</f>
        <v>0.73650000000000004</v>
      </c>
    </row>
    <row r="28" spans="3:8" s="384" customFormat="1" ht="27" customHeight="1" x14ac:dyDescent="0.3">
      <c r="C28" s="386" t="s">
        <v>186</v>
      </c>
      <c r="D28" s="387">
        <f>Hoja1!B71</f>
        <v>4.82E-2</v>
      </c>
      <c r="E28" s="387">
        <f>Hoja1!B102</f>
        <v>4.82E-2</v>
      </c>
      <c r="G28" s="328"/>
      <c r="H28" s="387"/>
    </row>
    <row r="29" spans="3:8" s="384" customFormat="1" ht="27" customHeight="1" x14ac:dyDescent="0.3">
      <c r="C29" s="328"/>
      <c r="D29" s="387"/>
      <c r="E29" s="387"/>
      <c r="G29" s="328"/>
      <c r="H29" s="387"/>
    </row>
    <row r="30" spans="3:8" s="384" customFormat="1" ht="27" customHeight="1" x14ac:dyDescent="0.3">
      <c r="C30" s="383" t="s">
        <v>223</v>
      </c>
      <c r="D30" s="383" t="str">
        <f>Hoja1!B73</f>
        <v>BT4</v>
      </c>
      <c r="E30" s="383" t="str">
        <f>Hoja1!B104</f>
        <v>MT4</v>
      </c>
      <c r="G30" s="383" t="s">
        <v>242</v>
      </c>
      <c r="H30" s="383" t="str">
        <f>Hoja1!B135</f>
        <v>BT5F</v>
      </c>
    </row>
    <row r="31" spans="3:8" s="384" customFormat="1" ht="27" customHeight="1" x14ac:dyDescent="0.3">
      <c r="C31" s="385" t="s">
        <v>122</v>
      </c>
      <c r="D31" s="387">
        <f>Hoja1!B74</f>
        <v>9.48</v>
      </c>
      <c r="E31" s="387">
        <f>Hoja1!B105</f>
        <v>9.48</v>
      </c>
      <c r="G31" s="385" t="s">
        <v>122</v>
      </c>
      <c r="H31" s="387">
        <f>Hoja1!B136</f>
        <v>9.19</v>
      </c>
    </row>
    <row r="32" spans="3:8" s="384" customFormat="1" ht="27" customHeight="1" x14ac:dyDescent="0.3">
      <c r="C32" s="386" t="s">
        <v>229</v>
      </c>
      <c r="D32" s="387">
        <f>Hoja1!B75</f>
        <v>0.31519999999999998</v>
      </c>
      <c r="E32" s="387">
        <f>Hoja1!B106</f>
        <v>0.29099999999999998</v>
      </c>
      <c r="G32" s="328" t="s">
        <v>243</v>
      </c>
      <c r="H32" s="387"/>
    </row>
    <row r="33" spans="3:8" s="384" customFormat="1" ht="27" customHeight="1" x14ac:dyDescent="0.3">
      <c r="C33" s="385" t="s">
        <v>204</v>
      </c>
      <c r="D33" s="387"/>
      <c r="E33" s="387"/>
      <c r="G33" s="328" t="s">
        <v>233</v>
      </c>
      <c r="H33" s="387"/>
    </row>
    <row r="34" spans="3:8" s="384" customFormat="1" ht="27" customHeight="1" x14ac:dyDescent="0.3">
      <c r="C34" s="386" t="s">
        <v>206</v>
      </c>
      <c r="D34" s="387">
        <f>Hoja1!B77</f>
        <v>50.39</v>
      </c>
      <c r="E34" s="387">
        <f>Hoja1!B108</f>
        <v>58.71</v>
      </c>
      <c r="G34" s="386" t="s">
        <v>127</v>
      </c>
      <c r="H34" s="387">
        <f>Hoja1!B139</f>
        <v>1.1592</v>
      </c>
    </row>
    <row r="35" spans="3:8" s="384" customFormat="1" ht="27" customHeight="1" x14ac:dyDescent="0.3">
      <c r="C35" s="385" t="s">
        <v>209</v>
      </c>
      <c r="D35" s="387">
        <f>Hoja1!B78</f>
        <v>46.23</v>
      </c>
      <c r="E35" s="387">
        <f>Hoja1!B109</f>
        <v>36.83</v>
      </c>
      <c r="G35" s="385" t="s">
        <v>136</v>
      </c>
      <c r="H35" s="387">
        <f>Hoja1!B140</f>
        <v>0.51680000000000004</v>
      </c>
    </row>
    <row r="36" spans="3:8" s="384" customFormat="1" ht="27" customHeight="1" x14ac:dyDescent="0.3">
      <c r="C36" s="386" t="s">
        <v>212</v>
      </c>
      <c r="D36" s="387"/>
      <c r="E36" s="387"/>
      <c r="G36" s="328" t="s">
        <v>237</v>
      </c>
      <c r="H36" s="387"/>
    </row>
    <row r="37" spans="3:8" s="384" customFormat="1" ht="27" customHeight="1" x14ac:dyDescent="0.3">
      <c r="C37" s="385" t="s">
        <v>206</v>
      </c>
      <c r="D37" s="387">
        <f>Hoja1!B80</f>
        <v>83.43</v>
      </c>
      <c r="E37" s="387">
        <f>Hoja1!B111</f>
        <v>17.02</v>
      </c>
      <c r="G37" s="386" t="s">
        <v>127</v>
      </c>
      <c r="H37" s="387">
        <f>Hoja1!B142</f>
        <v>1.1962999999999999</v>
      </c>
    </row>
    <row r="38" spans="3:8" s="384" customFormat="1" ht="27" customHeight="1" x14ac:dyDescent="0.3">
      <c r="C38" s="386" t="s">
        <v>209</v>
      </c>
      <c r="D38" s="387">
        <f>Hoja1!B81</f>
        <v>80.260000000000005</v>
      </c>
      <c r="E38" s="387">
        <f>Hoja1!B112</f>
        <v>16.809999999999999</v>
      </c>
      <c r="G38" s="385" t="s">
        <v>136</v>
      </c>
      <c r="H38" s="387">
        <f>Hoja1!B143</f>
        <v>0.5333</v>
      </c>
    </row>
    <row r="39" spans="3:8" s="384" customFormat="1" ht="27" customHeight="1" x14ac:dyDescent="0.3">
      <c r="C39" s="385" t="s">
        <v>186</v>
      </c>
      <c r="D39" s="387">
        <f>Hoja1!B82</f>
        <v>4.82E-2</v>
      </c>
      <c r="E39" s="387">
        <f>Hoja1!B113</f>
        <v>4.82E-2</v>
      </c>
    </row>
  </sheetData>
  <mergeCells count="1">
    <mergeCell ref="A5:J7"/>
  </mergeCells>
  <hyperlinks>
    <hyperlink ref="A3" r:id="rId1" location="/metodoCalculo" display="HC PERÜ" xr:uid="{918528C2-51F8-49F2-871B-7F096C38943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64CA42A55E270428FF9D303B4E87B7C" ma:contentTypeVersion="18" ma:contentTypeDescription="Create a new document." ma:contentTypeScope="" ma:versionID="d747ca465cb7c55298250fd8647529e3">
  <xsd:schema xmlns:xsd="http://www.w3.org/2001/XMLSchema" xmlns:xs="http://www.w3.org/2001/XMLSchema" xmlns:p="http://schemas.microsoft.com/office/2006/metadata/properties" xmlns:ns2="4b11bdff-e226-4ed9-8be1-8b62dd1b4307" xmlns:ns3="a41b2a14-4faa-4cff-b86b-3591447f7b5a" targetNamespace="http://schemas.microsoft.com/office/2006/metadata/properties" ma:root="true" ma:fieldsID="6cf11fb34c3471c35393050fa9833c8e" ns2:_="" ns3:_="">
    <xsd:import namespace="4b11bdff-e226-4ed9-8be1-8b62dd1b4307"/>
    <xsd:import namespace="a41b2a14-4faa-4cff-b86b-3591447f7b5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lcf76f155ced4ddcb4097134ff3c332f" minOccurs="0"/>
                <xsd:element ref="ns3:MediaServiceDateTaken" minOccurs="0"/>
                <xsd:element ref="ns2:SharedWithUsers" minOccurs="0"/>
                <xsd:element ref="ns2:SharedWithDetails" minOccurs="0"/>
                <xsd:element ref="ns3:MediaLengthInSeconds" minOccurs="0"/>
                <xsd:element ref="ns3:MediaServiceObjectDetectorVersions" minOccurs="0"/>
                <xsd:element ref="ns3:MediaServiceLocation"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11bdff-e226-4ed9-8be1-8b62dd1b430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41b2a14-4faa-4cff-b86b-3591447f7b5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ab2600de-030e-40a3-a341-c72395049305"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Location" ma:index="26" nillable="true" ma:displayName="Location" ma:indexed="true" ma:internalName="MediaServiceLocation"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1b2a14-4faa-4cff-b86b-3591447f7b5a">
      <Terms xmlns="http://schemas.microsoft.com/office/infopath/2007/PartnerControls"/>
    </lcf76f155ced4ddcb4097134ff3c332f>
    <_dlc_DocId xmlns="4b11bdff-e226-4ed9-8be1-8b62dd1b4307">RTUS7FDZ5MV6-328120848-11050</_dlc_DocId>
    <_dlc_DocIdUrl xmlns="4b11bdff-e226-4ed9-8be1-8b62dd1b4307">
      <Url>https://niras.sharepoint.com/sites/NIDE353TEX/_layouts/15/DocIdRedir.aspx?ID=RTUS7FDZ5MV6-328120848-11050</Url>
      <Description>RTUS7FDZ5MV6-328120848-11050</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22D348C-FE94-4C2E-A199-ABE2F617A4F9}">
  <ds:schemaRefs>
    <ds:schemaRef ds:uri="http://schemas.microsoft.com/sharepoint/v3/contenttype/forms"/>
  </ds:schemaRefs>
</ds:datastoreItem>
</file>

<file path=customXml/itemProps2.xml><?xml version="1.0" encoding="utf-8"?>
<ds:datastoreItem xmlns:ds="http://schemas.openxmlformats.org/officeDocument/2006/customXml" ds:itemID="{1AA8F1D9-80E8-4AF5-9443-EBCFD21E55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11bdff-e226-4ed9-8be1-8b62dd1b4307"/>
    <ds:schemaRef ds:uri="a41b2a14-4faa-4cff-b86b-3591447f7b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458F335-F664-4B5A-9989-D8B6D5C83BF5}">
  <ds:schemaRefs>
    <ds:schemaRef ds:uri="http://www.w3.org/XML/1998/namespace"/>
    <ds:schemaRef ds:uri="http://schemas.openxmlformats.org/package/2006/metadata/core-properties"/>
    <ds:schemaRef ds:uri="http://purl.org/dc/elements/1.1/"/>
    <ds:schemaRef ds:uri="a41b2a14-4faa-4cff-b86b-3591447f7b5a"/>
    <ds:schemaRef ds:uri="http://schemas.microsoft.com/office/2006/documentManagement/types"/>
    <ds:schemaRef ds:uri="http://purl.org/dc/dcmitype/"/>
    <ds:schemaRef ds:uri="http://purl.org/dc/terms/"/>
    <ds:schemaRef ds:uri="http://schemas.microsoft.com/office/infopath/2007/PartnerControls"/>
    <ds:schemaRef ds:uri="4b11bdff-e226-4ed9-8be1-8b62dd1b4307"/>
    <ds:schemaRef ds:uri="http://schemas.microsoft.com/office/2006/metadata/properties"/>
  </ds:schemaRefs>
</ds:datastoreItem>
</file>

<file path=customXml/itemProps4.xml><?xml version="1.0" encoding="utf-8"?>
<ds:datastoreItem xmlns:ds="http://schemas.openxmlformats.org/officeDocument/2006/customXml" ds:itemID="{646A70C0-4AA9-40A0-B279-D5E5DCC89068}">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Informe</vt:lpstr>
      <vt:lpstr>1.GeneralesEmpresa</vt:lpstr>
      <vt:lpstr>2.HistóricoConsumoEnergético</vt:lpstr>
      <vt:lpstr>3.Administración e iluminación</vt:lpstr>
      <vt:lpstr>4.Ident.Princip.Consumos</vt:lpstr>
      <vt:lpstr>5. Ecuación</vt:lpstr>
      <vt:lpstr>6.Compensación</vt:lpstr>
      <vt:lpstr>Hoja2</vt:lpstr>
      <vt:lpstr>7.- UpDate</vt:lpstr>
      <vt:lpstr>Hoja1</vt:lpstr>
      <vt:lpstr>Opocion Tarifaria </vt:lpstr>
      <vt:lpstr>Tarifa MTBT</vt:lpstr>
      <vt:lpstr>Potencia-Condensador</vt:lpstr>
      <vt:lpstr>5_kWp</vt:lpstr>
      <vt:lpstr>15_kWp</vt:lpstr>
      <vt:lpstr>30_kWp</vt:lpstr>
      <vt:lpstr>Datos</vt:lpstr>
      <vt:lpstr>Precio-kWh_SFV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Jennifer Vasquez</dc:creator>
  <cp:keywords/>
  <dc:description/>
  <cp:lastModifiedBy>Juan Antonio Meza (JUME)</cp:lastModifiedBy>
  <cp:revision/>
  <cp:lastPrinted>2024-09-20T16:45:11Z</cp:lastPrinted>
  <dcterms:created xsi:type="dcterms:W3CDTF">2024-04-07T00:44:42Z</dcterms:created>
  <dcterms:modified xsi:type="dcterms:W3CDTF">2025-10-14T20:04:13Z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0x010100E64CA42A55E270428FF9D303B4E87B7C</vt:lpwstr>
  </property>
  <property fmtid="{D5CDD505-2E9C-101B-9397-08002B2CF9AE}" pid="3" name="_dlc_DocIdItemGuid">
    <vt:lpwstr>0505ddf1-b1f7-405c-ab1e-38b526dd6947</vt:lpwstr>
  </property>
  <property fmtid="{D5CDD505-2E9C-101B-9397-08002B2CF9AE}" pid="4" name="MediaServiceImageTags">
    <vt:lpwstr/>
  </property>
  <property fmtid="{D5CDD505-2E9C-101B-9397-08002B2CF9AE}" pid="5" name="NIRASScale">
    <vt:lpwstr/>
  </property>
  <property fmtid="{D5CDD505-2E9C-101B-9397-08002B2CF9AE}" pid="6" name="o7ddbb95048e4674b1961839f647280e">
    <vt:lpwstr/>
  </property>
  <property fmtid="{D5CDD505-2E9C-101B-9397-08002B2CF9AE}" pid="7" name="i5700158192d457fa5a55d94ad1f5c8a">
    <vt:lpwstr/>
  </property>
  <property fmtid="{D5CDD505-2E9C-101B-9397-08002B2CF9AE}" pid="8" name="da20537ee97d477b961033ada76c4a82">
    <vt:lpwstr/>
  </property>
  <property fmtid="{D5CDD505-2E9C-101B-9397-08002B2CF9AE}" pid="9" name="NIRASDocumentKind">
    <vt:lpwstr/>
  </property>
  <property fmtid="{D5CDD505-2E9C-101B-9397-08002B2CF9AE}" pid="10" name="b20adbee33c84350ab297149ab7609e1">
    <vt:lpwstr/>
  </property>
  <property fmtid="{D5CDD505-2E9C-101B-9397-08002B2CF9AE}" pid="11" name="NIRASQAGroup">
    <vt:lpwstr/>
  </property>
  <property fmtid="{D5CDD505-2E9C-101B-9397-08002B2CF9AE}" pid="12" name="NIRASQAStatus">
    <vt:lpwstr/>
  </property>
  <property fmtid="{D5CDD505-2E9C-101B-9397-08002B2CF9AE}" pid="13" name="TaxCatchAll">
    <vt:lpwstr/>
  </property>
</Properties>
</file>